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USER\Dropbox (HomeBiogas)\Product Management\Basic Systems\Fertilizer\Distributor Fertilizer Webinar 9.2022\Calculators and Simulators\ROI Simulator\"/>
    </mc:Choice>
  </mc:AlternateContent>
  <xr:revisionPtr revIDLastSave="0" documentId="13_ncr:1_{BF89F24E-29C9-4D35-AE0F-DA27F9740CEF}" xr6:coauthVersionLast="47" xr6:coauthVersionMax="47" xr10:uidLastSave="{00000000-0000-0000-0000-000000000000}"/>
  <bookViews>
    <workbookView xWindow="-110" yWindow="-110" windowWidth="19420" windowHeight="10420" tabRatio="788" activeTab="1" xr2:uid="{00000000-000D-0000-FFFF-FFFF00000000}"/>
  </bookViews>
  <sheets>
    <sheet name="BD" sheetId="30" r:id="rId1"/>
    <sheet name="Simulador" sheetId="31" r:id="rId2"/>
    <sheet name="Reporte" sheetId="32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2" l="1"/>
  <c r="E32" i="32"/>
  <c r="E31" i="32"/>
  <c r="E30" i="32"/>
  <c r="D33" i="32"/>
  <c r="D32" i="32" s="1"/>
  <c r="D31" i="32" l="1"/>
  <c r="D30" i="32"/>
  <c r="H41" i="32" l="1"/>
  <c r="I41" i="32"/>
  <c r="B55" i="31"/>
  <c r="B54" i="31"/>
  <c r="H14" i="32"/>
  <c r="F14" i="32"/>
  <c r="G13" i="32"/>
  <c r="C9" i="32"/>
  <c r="C8" i="32"/>
  <c r="C7" i="32"/>
  <c r="C6" i="32"/>
  <c r="H1" i="32"/>
  <c r="A34" i="31"/>
  <c r="E25" i="31"/>
  <c r="D25" i="31"/>
  <c r="C25" i="31"/>
  <c r="B25" i="31"/>
  <c r="E23" i="31"/>
  <c r="D23" i="31"/>
  <c r="C23" i="31"/>
  <c r="B23" i="31"/>
  <c r="F22" i="31"/>
  <c r="F21" i="31"/>
  <c r="F20" i="31"/>
  <c r="B43" i="31" s="1"/>
  <c r="E14" i="31"/>
  <c r="D14" i="31"/>
  <c r="C14" i="31"/>
  <c r="B14" i="31"/>
  <c r="B42" i="31" s="1"/>
  <c r="A14" i="31"/>
  <c r="F13" i="31"/>
  <c r="A13" i="31"/>
  <c r="A12" i="31"/>
  <c r="D25" i="30"/>
  <c r="E25" i="30" s="1"/>
  <c r="F25" i="30" s="1"/>
  <c r="D24" i="30"/>
  <c r="E24" i="30" s="1"/>
  <c r="F24" i="30" s="1"/>
  <c r="D23" i="30"/>
  <c r="E23" i="30" s="1"/>
  <c r="F23" i="30" s="1"/>
  <c r="F25" i="31" l="1"/>
  <c r="B44" i="31"/>
  <c r="B45" i="31" s="1"/>
  <c r="F23" i="31"/>
  <c r="B27" i="31"/>
  <c r="F14" i="31"/>
  <c r="B46" i="31" l="1"/>
  <c r="B15" i="31"/>
  <c r="B47" i="31" l="1"/>
  <c r="G41" i="32"/>
  <c r="G42" i="32" s="1"/>
  <c r="B52" i="31"/>
  <c r="B16" i="31"/>
  <c r="B31" i="31" s="1"/>
  <c r="B14" i="32"/>
  <c r="B33" i="31" l="1"/>
  <c r="B35" i="31" s="1"/>
  <c r="D14" i="32"/>
  <c r="B53" i="31"/>
  <c r="B56" i="31" s="1"/>
  <c r="B48" i="31"/>
  <c r="B51" i="31" s="1"/>
  <c r="C14" i="32"/>
  <c r="E14" i="32" l="1"/>
  <c r="B38" i="31"/>
  <c r="B39" i="31" s="1"/>
  <c r="B50" i="31"/>
  <c r="H42" i="32"/>
  <c r="J15" i="32"/>
  <c r="G14" i="32" l="1"/>
  <c r="F11" i="32" s="1"/>
  <c r="N4" i="30" l="1"/>
  <c r="N5" i="30" s="1"/>
  <c r="N6" i="30" s="1"/>
  <c r="N7" i="30" s="1"/>
  <c r="N8" i="30" s="1"/>
  <c r="N9" i="30" s="1"/>
  <c r="N10" i="30" s="1"/>
  <c r="N11" i="30" s="1"/>
  <c r="N12" i="30" s="1"/>
  <c r="N13" i="30" s="1"/>
  <c r="P4" i="30"/>
  <c r="P5" i="30" s="1"/>
  <c r="P6" i="30" s="1"/>
  <c r="P7" i="30" s="1"/>
  <c r="P8" i="30" s="1"/>
  <c r="P9" i="30" s="1"/>
  <c r="P10" i="30" s="1"/>
  <c r="P11" i="30" s="1"/>
  <c r="P12" i="30" s="1"/>
  <c r="P13" i="30" s="1"/>
  <c r="M3" i="30" l="1"/>
  <c r="O3" i="30"/>
  <c r="O4" i="30" l="1"/>
  <c r="O5" i="30" s="1"/>
  <c r="O6" i="30" s="1"/>
  <c r="O7" i="30" s="1"/>
  <c r="O8" i="30" s="1"/>
  <c r="O9" i="30" s="1"/>
  <c r="O10" i="30" s="1"/>
  <c r="O11" i="30" s="1"/>
  <c r="O12" i="30" s="1"/>
  <c r="O13" i="30" s="1"/>
  <c r="M4" i="30"/>
  <c r="M5" i="30" s="1"/>
  <c r="M6" i="30" s="1"/>
  <c r="M7" i="30" s="1"/>
  <c r="M8" i="30" s="1"/>
  <c r="M9" i="30" s="1"/>
  <c r="M10" i="30" s="1"/>
  <c r="M11" i="30" s="1"/>
  <c r="M12" i="30" s="1"/>
  <c r="M13" i="30" l="1"/>
  <c r="P14" i="30" s="1"/>
  <c r="B49" i="31"/>
  <c r="J14" i="32" s="1"/>
  <c r="N14" i="30" l="1"/>
  <c r="I14" i="32"/>
  <c r="I11" i="32"/>
  <c r="J41" i="32" l="1"/>
  <c r="J42" i="32" s="1"/>
  <c r="I42" i="32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<sst xmlns="http://schemas.openxmlformats.org/spreadsheetml/2006/main" count="150" uniqueCount="124">
  <si>
    <t>contado</t>
  </si>
  <si>
    <t>financiado</t>
  </si>
  <si>
    <t>Año</t>
  </si>
  <si>
    <t>Costo</t>
  </si>
  <si>
    <t>Ganancia Total</t>
  </si>
  <si>
    <t>Ahorros en fertilizante</t>
  </si>
  <si>
    <t>Precio Homebiogas 7.0</t>
  </si>
  <si>
    <t>Precio Homebiogas 2.0</t>
  </si>
  <si>
    <t>Mantenimiento Anual (Filtro)</t>
  </si>
  <si>
    <t>Costo por 1/2 Kg de LPG</t>
  </si>
  <si>
    <t>Ahorro por litro de fertilizante</t>
  </si>
  <si>
    <t>20% o ahorro de fertilizante</t>
  </si>
  <si>
    <t>Ahorro de fertilizante</t>
  </si>
  <si>
    <t>kg de estiercol</t>
  </si>
  <si>
    <t>Vaca</t>
  </si>
  <si>
    <t>Cerdo</t>
  </si>
  <si>
    <t>Cabra Borrego</t>
  </si>
  <si>
    <t>Caballo</t>
  </si>
  <si>
    <t>Organic Waste</t>
  </si>
  <si>
    <t>Ahorro anual</t>
  </si>
  <si>
    <t>Homebiogas 2.0</t>
  </si>
  <si>
    <t xml:space="preserve">Homebiogas 4.0 </t>
  </si>
  <si>
    <t xml:space="preserve">Homebiogas 7.0 </t>
  </si>
  <si>
    <t>Fertilizantes x Ha</t>
  </si>
  <si>
    <t>Toneladas/año</t>
  </si>
  <si>
    <t>Maíz</t>
  </si>
  <si>
    <t>Corn</t>
  </si>
  <si>
    <t>Trigo</t>
  </si>
  <si>
    <t>Wheat</t>
  </si>
  <si>
    <t>Avena</t>
  </si>
  <si>
    <t>Oat</t>
  </si>
  <si>
    <t>lechuga</t>
  </si>
  <si>
    <t>lettuce</t>
  </si>
  <si>
    <t>Tomate</t>
  </si>
  <si>
    <t>Tomatoe</t>
  </si>
  <si>
    <t>Otro</t>
  </si>
  <si>
    <t>Other</t>
  </si>
  <si>
    <t>Estiércol de animales</t>
  </si>
  <si>
    <t>Ambos</t>
  </si>
  <si>
    <t>Mensual</t>
  </si>
  <si>
    <t>Trimestral</t>
  </si>
  <si>
    <t>Cuestionario para Agricultores / Ganaderos</t>
  </si>
  <si>
    <t>Datos</t>
  </si>
  <si>
    <t>Nombre:</t>
  </si>
  <si>
    <t>Ubicación:</t>
  </si>
  <si>
    <t>Información de la granja</t>
  </si>
  <si>
    <t>¿Con que piensas alimentar el Biodigestor?</t>
  </si>
  <si>
    <t>TOTAL</t>
  </si>
  <si>
    <t>Biodigestor recomendado</t>
  </si>
  <si>
    <t>Cantidad de Biodigestores</t>
  </si>
  <si>
    <t>Información de cultivos</t>
  </si>
  <si>
    <t>¿Qué Cultivas?</t>
  </si>
  <si>
    <t>Gasto Total</t>
  </si>
  <si>
    <t>Toneladas producidas anualmente</t>
  </si>
  <si>
    <t>¿A cuanto vendes la tonelada de tu cultivo?</t>
  </si>
  <si>
    <t>Ingresos por Cultivo</t>
  </si>
  <si>
    <t>Información financiera</t>
  </si>
  <si>
    <t>¿Cuanto gastas al año en gas/leña?</t>
  </si>
  <si>
    <t>Costo Biodigestores Contado</t>
  </si>
  <si>
    <t>¿Pago de contado o financiado?</t>
  </si>
  <si>
    <t>ENGANCHE</t>
  </si>
  <si>
    <t>Mensualidades</t>
  </si>
  <si>
    <t>Forma de Pago</t>
  </si>
  <si>
    <t>Pagos Mensuales de:</t>
  </si>
  <si>
    <t>Pagos Trimestrales de:</t>
  </si>
  <si>
    <t>Ahorros Y Ganancia</t>
  </si>
  <si>
    <t>Ahorro en gas</t>
  </si>
  <si>
    <t>Biol Necesario</t>
  </si>
  <si>
    <t>Incremento en producción</t>
  </si>
  <si>
    <t>AHORRO ANUAL</t>
  </si>
  <si>
    <t>Mantenimiento Anual</t>
  </si>
  <si>
    <t>ROI Anual</t>
  </si>
  <si>
    <t>Años para recuperar la inversión</t>
  </si>
  <si>
    <t>AHORRO ANUAL Sin incremento</t>
  </si>
  <si>
    <t>Mantenimiento Anual Sin incremento</t>
  </si>
  <si>
    <t>Reporte de Ganancias y Retorno de inversión</t>
  </si>
  <si>
    <t>Ubicación</t>
  </si>
  <si>
    <t>INFORMACIÓN GENERAL</t>
  </si>
  <si>
    <t>COSTO</t>
  </si>
  <si>
    <t>GANANCIA</t>
  </si>
  <si>
    <t>Sistema recomendado</t>
  </si>
  <si>
    <t>Cantidad de sistemas</t>
  </si>
  <si>
    <t>Enganche</t>
  </si>
  <si>
    <t>Pagos</t>
  </si>
  <si>
    <t>Ahorro Anual</t>
  </si>
  <si>
    <t>10 años de ganancias</t>
  </si>
  <si>
    <t>GANANCIAS CON HOMEBIOGAS EN 10 AÑOS</t>
  </si>
  <si>
    <t>Ahorros en Fertilizante</t>
  </si>
  <si>
    <t>ROI en el tiempo</t>
  </si>
  <si>
    <t>EN QUE VAS A GANAR</t>
  </si>
  <si>
    <t>10 AÑOS DE GANANCIAS</t>
  </si>
  <si>
    <t>Fertilizante</t>
  </si>
  <si>
    <t>Producción</t>
  </si>
  <si>
    <t>Tasa de USD a moneda local</t>
  </si>
  <si>
    <t>Litros de biogás diarios</t>
  </si>
  <si>
    <t>Litros de biogás mensuales</t>
  </si>
  <si>
    <t>Mant. anual</t>
  </si>
  <si>
    <t>Teléfono:</t>
  </si>
  <si>
    <t>Correo electrónico:</t>
  </si>
  <si>
    <t>¿Cuántas toneladas por hectárea produces?</t>
  </si>
  <si>
    <t>Probióticos para el cultivo</t>
  </si>
  <si>
    <t>Residuo orgánico</t>
  </si>
  <si>
    <t>residuo</t>
  </si>
  <si>
    <t>Estiércol</t>
  </si>
  <si>
    <t>Teléfono</t>
  </si>
  <si>
    <t>Ganancia Anual</t>
  </si>
  <si>
    <t>¿Cuántas hectáreas tienes?</t>
  </si>
  <si>
    <t>Enganche mínimo 30%</t>
  </si>
  <si>
    <t>Litros de fertilizante generados</t>
  </si>
  <si>
    <t>Ahorro en fertilizante</t>
  </si>
  <si>
    <t>GANANCIA EN 10 AÑOS</t>
  </si>
  <si>
    <t>Mantenimiento Anual (Probióticos)</t>
  </si>
  <si>
    <t>¿Cuanto gastas al año en fertilizantes por Ha?</t>
  </si>
  <si>
    <t>¿Cuanto gastas al año en pesticidas por Ha?</t>
  </si>
  <si>
    <t>Respuestas</t>
  </si>
  <si>
    <t>Precio Homebiogas 4.0</t>
  </si>
  <si>
    <t>incrimental %</t>
  </si>
  <si>
    <t>down payment percent</t>
  </si>
  <si>
    <t>yearly intrace</t>
  </si>
  <si>
    <t>Angel</t>
  </si>
  <si>
    <t>Mexico City</t>
  </si>
  <si>
    <t>Angel_Tomato_Grower@gmail.com</t>
  </si>
  <si>
    <t>Costo 10 años: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</si>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</sst>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"/>
    <numFmt numFmtId="165" formatCode="&quot;$&quot;#,##0"/>
    <numFmt numFmtId="166" formatCode="#,##0.0"/>
    <numFmt numFmtId="167" formatCode="[$-409]d\-mmm\-yyyy;@"/>
    <numFmt numFmtId="168" formatCode="&quot;$&quot;#,##0.000"/>
    <numFmt numFmtId="169" formatCode="&quot;$&quot;#,##0;[Red]\-&quot;$&quot;#,##0"/>
    <numFmt numFmtId="170" formatCode="0.0%"/>
    <numFmt numFmtId="171" formatCode="#,##0.00000;[Red]#,##0.00000"/>
    <numFmt numFmtId="172" formatCode="&quot;$&quot;#,##0.00;[Red]\-&quot;$&quot;#,##0.00"/>
  </numFmts>
  <fonts count="19">
    <font>
      <sz val="11"/>
      <color theme="1"/>
      <name val="Arial"/>
      <charset val="134"/>
      <scheme val="minor"/>
    </font>
    <font>
      <sz val="11"/>
      <color theme="1"/>
      <name val="Arial"/>
      <family val="2"/>
      <scheme val="minor"/>
    </font>
    <font>
      <b/>
      <sz val="25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u/>
      <sz val="11"/>
      <color theme="1"/>
      <name val="Open Sans Hebrew"/>
    </font>
    <font>
      <b/>
      <sz val="11"/>
      <color theme="1"/>
      <name val="Open Sans Hebrew"/>
    </font>
    <font>
      <sz val="11"/>
      <color theme="1"/>
      <name val="Open Sans Hebrew"/>
    </font>
    <font>
      <b/>
      <sz val="13"/>
      <color theme="1"/>
      <name val="Open Sans Hebrew"/>
    </font>
    <font>
      <b/>
      <sz val="12"/>
      <color theme="1"/>
      <name val="Open Sans Hebrew"/>
    </font>
    <font>
      <b/>
      <sz val="20"/>
      <color theme="1"/>
      <name val="Open Sans Hebrew"/>
    </font>
    <font>
      <b/>
      <sz val="18"/>
      <name val="Open Sans Hebrew"/>
    </font>
    <font>
      <b/>
      <sz val="14"/>
      <name val="Open Sans Hebrew"/>
    </font>
    <font>
      <b/>
      <sz val="14"/>
      <color theme="1"/>
      <name val="Open Sans Hebrew"/>
    </font>
    <font>
      <b/>
      <sz val="18"/>
      <color theme="1"/>
      <name val="Open Sans Hebrew"/>
    </font>
    <font>
      <sz val="14"/>
      <color theme="1"/>
      <name val="Open Sans Hebrew"/>
    </font>
    <font>
      <b/>
      <sz val="15"/>
      <color theme="1"/>
      <name val="Open Sans Hebrew"/>
    </font>
    <font>
      <sz val="11"/>
      <color theme="1"/>
      <name val="Arial"/>
      <charset val="134"/>
      <scheme val="minor"/>
    </font>
    <font>
      <sz val="11"/>
      <color theme="1"/>
      <name val="Open Sans Hebrew"/>
      <charset val="134"/>
    </font>
    <font>
      <u/>
      <sz val="11"/>
      <color theme="10"/>
      <name val="Open Sans Hebrew"/>
      <charset val="134"/>
    </font>
  </fonts>
  <fills count="13">
    <fill>
      <patternFill patternType="none"/>
    </fill>
    <fill>
      <patternFill patternType="gray125"/>
    </fill>
    <fill>
      <patternFill patternType="solid">
        <fgColor rgb="FFFFD8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5"/>
    <xf numFmtId="0" fontId="1" fillId="0" borderId="0" xfId="5" applyAlignment="1">
      <alignment horizontal="center"/>
    </xf>
    <xf numFmtId="165" fontId="1" fillId="0" borderId="0" xfId="5" applyNumberFormat="1" applyAlignment="1">
      <alignment horizontal="center"/>
    </xf>
    <xf numFmtId="3" fontId="1" fillId="0" borderId="0" xfId="5" applyNumberFormat="1" applyAlignment="1">
      <alignment horizontal="center"/>
    </xf>
    <xf numFmtId="165" fontId="1" fillId="0" borderId="0" xfId="5" applyNumberFormat="1"/>
    <xf numFmtId="2" fontId="1" fillId="0" borderId="0" xfId="5" applyNumberFormat="1"/>
    <xf numFmtId="164" fontId="1" fillId="0" borderId="0" xfId="5" applyNumberFormat="1"/>
    <xf numFmtId="168" fontId="1" fillId="0" borderId="0" xfId="5" applyNumberFormat="1" applyAlignment="1">
      <alignment horizontal="center"/>
    </xf>
    <xf numFmtId="165" fontId="1" fillId="4" borderId="0" xfId="5" applyNumberFormat="1" applyFill="1" applyAlignment="1">
      <alignment horizontal="center"/>
    </xf>
    <xf numFmtId="164" fontId="1" fillId="8" borderId="0" xfId="5" applyNumberFormat="1" applyFill="1" applyAlignment="1">
      <alignment horizontal="center"/>
    </xf>
    <xf numFmtId="171" fontId="1" fillId="9" borderId="0" xfId="5" applyNumberFormat="1" applyFill="1" applyAlignment="1">
      <alignment horizontal="center"/>
    </xf>
    <xf numFmtId="172" fontId="1" fillId="0" borderId="0" xfId="5" applyNumberFormat="1"/>
    <xf numFmtId="9" fontId="1" fillId="0" borderId="0" xfId="5" applyNumberFormat="1"/>
    <xf numFmtId="9" fontId="1" fillId="8" borderId="0" xfId="5" applyNumberFormat="1" applyFill="1"/>
    <xf numFmtId="2" fontId="1" fillId="8" borderId="0" xfId="5" applyNumberFormat="1" applyFill="1"/>
    <xf numFmtId="0" fontId="1" fillId="0" borderId="0" xfId="5" applyAlignment="1">
      <alignment horizontal="center" vertical="center" wrapText="1"/>
    </xf>
    <xf numFmtId="0" fontId="6" fillId="0" borderId="13" xfId="5" applyFont="1" applyBorder="1" applyAlignment="1">
      <alignment horizontal="left"/>
    </xf>
    <xf numFmtId="0" fontId="6" fillId="0" borderId="5" xfId="5" applyFont="1" applyBorder="1"/>
    <xf numFmtId="0" fontId="5" fillId="0" borderId="13" xfId="5" applyFont="1" applyBorder="1" applyAlignment="1">
      <alignment horizontal="left" vertical="center" wrapText="1"/>
    </xf>
    <xf numFmtId="0" fontId="5" fillId="10" borderId="11" xfId="5" applyFont="1" applyFill="1" applyBorder="1" applyAlignment="1" applyProtection="1">
      <alignment horizontal="center" vertical="center" wrapText="1"/>
      <protection locked="0"/>
    </xf>
    <xf numFmtId="0" fontId="5" fillId="3" borderId="12" xfId="5" applyFont="1" applyFill="1" applyBorder="1" applyAlignment="1">
      <alignment horizontal="center" vertical="center" wrapText="1"/>
    </xf>
    <xf numFmtId="3" fontId="6" fillId="10" borderId="0" xfId="5" applyNumberFormat="1" applyFont="1" applyFill="1" applyAlignment="1" applyProtection="1">
      <alignment horizontal="center"/>
      <protection locked="0"/>
    </xf>
    <xf numFmtId="0" fontId="5" fillId="3" borderId="5" xfId="5" applyFont="1" applyFill="1" applyBorder="1" applyAlignment="1">
      <alignment horizontal="center"/>
    </xf>
    <xf numFmtId="3" fontId="5" fillId="3" borderId="0" xfId="5" applyNumberFormat="1" applyFont="1" applyFill="1" applyAlignment="1">
      <alignment horizontal="center"/>
    </xf>
    <xf numFmtId="0" fontId="5" fillId="3" borderId="0" xfId="5" applyFont="1" applyFill="1" applyAlignment="1">
      <alignment horizontal="center"/>
    </xf>
    <xf numFmtId="0" fontId="6" fillId="11" borderId="19" xfId="5" applyFont="1" applyFill="1" applyBorder="1" applyAlignment="1" applyProtection="1">
      <alignment horizontal="center"/>
      <protection locked="0"/>
    </xf>
    <xf numFmtId="0" fontId="6" fillId="11" borderId="0" xfId="5" applyFont="1" applyFill="1" applyAlignment="1" applyProtection="1">
      <alignment horizontal="center"/>
      <protection locked="0"/>
    </xf>
    <xf numFmtId="0" fontId="5" fillId="11" borderId="14" xfId="5" applyFont="1" applyFill="1" applyBorder="1" applyAlignment="1">
      <alignment horizontal="center"/>
    </xf>
    <xf numFmtId="0" fontId="6" fillId="11" borderId="19" xfId="0" applyFont="1" applyFill="1" applyBorder="1" applyAlignment="1" applyProtection="1">
      <alignment horizontal="center" wrapText="1"/>
      <protection locked="0"/>
    </xf>
    <xf numFmtId="0" fontId="6" fillId="11" borderId="0" xfId="0" applyFont="1" applyFill="1" applyAlignment="1" applyProtection="1">
      <alignment horizontal="center" wrapText="1"/>
      <protection locked="0"/>
    </xf>
    <xf numFmtId="0" fontId="6" fillId="11" borderId="14" xfId="5" applyFont="1" applyFill="1" applyBorder="1" applyAlignment="1">
      <alignment horizontal="center"/>
    </xf>
    <xf numFmtId="169" fontId="6" fillId="11" borderId="19" xfId="0" applyNumberFormat="1" applyFont="1" applyFill="1" applyBorder="1" applyAlignment="1" applyProtection="1">
      <alignment horizontal="center" wrapText="1"/>
      <protection locked="0"/>
    </xf>
    <xf numFmtId="169" fontId="6" fillId="11" borderId="0" xfId="0" applyNumberFormat="1" applyFont="1" applyFill="1" applyAlignment="1" applyProtection="1">
      <alignment horizontal="center" wrapText="1"/>
      <protection locked="0"/>
    </xf>
    <xf numFmtId="165" fontId="6" fillId="11" borderId="14" xfId="5" applyNumberFormat="1" applyFont="1" applyFill="1" applyBorder="1" applyAlignment="1">
      <alignment horizontal="center"/>
    </xf>
    <xf numFmtId="165" fontId="6" fillId="11" borderId="19" xfId="5" applyNumberFormat="1" applyFont="1" applyFill="1" applyBorder="1" applyAlignment="1">
      <alignment horizontal="center"/>
    </xf>
    <xf numFmtId="165" fontId="6" fillId="11" borderId="0" xfId="5" applyNumberFormat="1" applyFont="1" applyFill="1" applyAlignment="1">
      <alignment horizontal="center"/>
    </xf>
    <xf numFmtId="166" fontId="6" fillId="11" borderId="19" xfId="5" applyNumberFormat="1" applyFont="1" applyFill="1" applyBorder="1" applyAlignment="1" applyProtection="1">
      <alignment horizontal="center"/>
      <protection locked="0"/>
    </xf>
    <xf numFmtId="166" fontId="6" fillId="11" borderId="0" xfId="5" applyNumberFormat="1" applyFont="1" applyFill="1" applyAlignment="1" applyProtection="1">
      <alignment horizontal="center"/>
      <protection locked="0"/>
    </xf>
    <xf numFmtId="3" fontId="6" fillId="11" borderId="20" xfId="5" applyNumberFormat="1" applyFont="1" applyFill="1" applyBorder="1" applyAlignment="1">
      <alignment horizontal="center"/>
    </xf>
    <xf numFmtId="3" fontId="6" fillId="11" borderId="10" xfId="5" applyNumberFormat="1" applyFont="1" applyFill="1" applyBorder="1" applyAlignment="1">
      <alignment horizontal="center"/>
    </xf>
    <xf numFmtId="3" fontId="6" fillId="11" borderId="21" xfId="5" applyNumberFormat="1" applyFont="1" applyFill="1" applyBorder="1" applyAlignment="1">
      <alignment horizontal="center"/>
    </xf>
    <xf numFmtId="165" fontId="6" fillId="0" borderId="14" xfId="5" applyNumberFormat="1" applyFont="1" applyBorder="1" applyAlignment="1" applyProtection="1">
      <alignment horizontal="center"/>
      <protection locked="0"/>
    </xf>
    <xf numFmtId="165" fontId="6" fillId="0" borderId="0" xfId="5" applyNumberFormat="1" applyFont="1" applyAlignment="1" applyProtection="1">
      <alignment horizontal="center"/>
      <protection locked="0"/>
    </xf>
    <xf numFmtId="165" fontId="6" fillId="0" borderId="5" xfId="5" applyNumberFormat="1" applyFont="1" applyBorder="1" applyAlignment="1">
      <alignment horizontal="center"/>
    </xf>
    <xf numFmtId="165" fontId="5" fillId="0" borderId="14" xfId="5" applyNumberFormat="1" applyFont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0" xfId="5" applyFont="1"/>
    <xf numFmtId="165" fontId="6" fillId="0" borderId="14" xfId="5" applyNumberFormat="1" applyFont="1" applyBorder="1" applyAlignment="1">
      <alignment horizontal="center"/>
    </xf>
    <xf numFmtId="0" fontId="5" fillId="0" borderId="13" xfId="5" applyFont="1" applyBorder="1"/>
    <xf numFmtId="0" fontId="6" fillId="0" borderId="13" xfId="5" applyFont="1" applyBorder="1"/>
    <xf numFmtId="3" fontId="6" fillId="0" borderId="14" xfId="5" applyNumberFormat="1" applyFont="1" applyBorder="1" applyAlignment="1" applyProtection="1">
      <alignment horizontal="center"/>
      <protection locked="0"/>
    </xf>
    <xf numFmtId="3" fontId="5" fillId="0" borderId="14" xfId="5" applyNumberFormat="1" applyFont="1" applyBorder="1" applyAlignment="1" applyProtection="1">
      <alignment horizontal="center"/>
      <protection locked="0"/>
    </xf>
    <xf numFmtId="0" fontId="6" fillId="0" borderId="6" xfId="5" applyFont="1" applyBorder="1"/>
    <xf numFmtId="0" fontId="6" fillId="0" borderId="7" xfId="5" applyFont="1" applyBorder="1"/>
    <xf numFmtId="0" fontId="6" fillId="0" borderId="2" xfId="5" applyFont="1" applyBorder="1" applyAlignment="1">
      <alignment horizontal="center"/>
    </xf>
    <xf numFmtId="0" fontId="6" fillId="0" borderId="2" xfId="5" applyFont="1" applyBorder="1"/>
    <xf numFmtId="0" fontId="6" fillId="0" borderId="3" xfId="5" applyFont="1" applyBorder="1"/>
    <xf numFmtId="165" fontId="6" fillId="12" borderId="14" xfId="5" applyNumberFormat="1" applyFont="1" applyFill="1" applyBorder="1" applyAlignment="1">
      <alignment horizontal="center"/>
    </xf>
    <xf numFmtId="3" fontId="6" fillId="4" borderId="14" xfId="5" applyNumberFormat="1" applyFont="1" applyFill="1" applyBorder="1" applyAlignment="1">
      <alignment horizontal="center"/>
    </xf>
    <xf numFmtId="164" fontId="6" fillId="0" borderId="0" xfId="5" applyNumberFormat="1" applyFont="1"/>
    <xf numFmtId="165" fontId="6" fillId="0" borderId="0" xfId="5" applyNumberFormat="1" applyFont="1"/>
    <xf numFmtId="165" fontId="6" fillId="0" borderId="5" xfId="5" applyNumberFormat="1" applyFont="1" applyBorder="1"/>
    <xf numFmtId="165" fontId="6" fillId="4" borderId="14" xfId="5" applyNumberFormat="1" applyFont="1" applyFill="1" applyBorder="1" applyAlignment="1">
      <alignment horizontal="center"/>
    </xf>
    <xf numFmtId="165" fontId="6" fillId="0" borderId="0" xfId="5" applyNumberFormat="1" applyFont="1" applyAlignment="1">
      <alignment horizontal="center"/>
    </xf>
    <xf numFmtId="164" fontId="6" fillId="0" borderId="5" xfId="5" applyNumberFormat="1" applyFont="1" applyBorder="1"/>
    <xf numFmtId="165" fontId="5" fillId="4" borderId="14" xfId="5" applyNumberFormat="1" applyFont="1" applyFill="1" applyBorder="1" applyAlignment="1">
      <alignment horizontal="center"/>
    </xf>
    <xf numFmtId="164" fontId="6" fillId="0" borderId="0" xfId="5" applyNumberFormat="1" applyFont="1" applyAlignment="1">
      <alignment horizontal="center"/>
    </xf>
    <xf numFmtId="170" fontId="5" fillId="4" borderId="14" xfId="9" applyNumberFormat="1" applyFont="1" applyFill="1" applyBorder="1" applyAlignment="1">
      <alignment horizontal="center"/>
    </xf>
    <xf numFmtId="2" fontId="5" fillId="4" borderId="14" xfId="5" applyNumberFormat="1" applyFont="1" applyFill="1" applyBorder="1" applyAlignment="1">
      <alignment horizontal="center"/>
    </xf>
    <xf numFmtId="2" fontId="6" fillId="0" borderId="0" xfId="5" applyNumberFormat="1" applyFont="1"/>
    <xf numFmtId="2" fontId="6" fillId="0" borderId="5" xfId="5" applyNumberFormat="1" applyFont="1" applyBorder="1"/>
    <xf numFmtId="2" fontId="5" fillId="0" borderId="15" xfId="5" applyNumberFormat="1" applyFont="1" applyBorder="1"/>
    <xf numFmtId="2" fontId="5" fillId="4" borderId="16" xfId="5" applyNumberFormat="1" applyFont="1" applyFill="1" applyBorder="1" applyAlignment="1">
      <alignment horizontal="center"/>
    </xf>
    <xf numFmtId="0" fontId="6" fillId="2" borderId="0" xfId="5" applyFont="1" applyFill="1"/>
    <xf numFmtId="0" fontId="11" fillId="0" borderId="0" xfId="5" applyFont="1"/>
    <xf numFmtId="0" fontId="12" fillId="0" borderId="0" xfId="5" applyFont="1"/>
    <xf numFmtId="0" fontId="13" fillId="0" borderId="0" xfId="5" applyFont="1"/>
    <xf numFmtId="3" fontId="12" fillId="0" borderId="0" xfId="5" applyNumberFormat="1" applyFont="1" applyAlignment="1">
      <alignment horizontal="right"/>
    </xf>
    <xf numFmtId="165" fontId="12" fillId="0" borderId="0" xfId="5" applyNumberFormat="1" applyFont="1"/>
    <xf numFmtId="164" fontId="14" fillId="0" borderId="0" xfId="5" applyNumberFormat="1" applyFont="1"/>
    <xf numFmtId="0" fontId="5" fillId="0" borderId="8" xfId="5" applyFont="1" applyBorder="1" applyAlignment="1">
      <alignment horizontal="center" vertical="top" wrapText="1"/>
    </xf>
    <xf numFmtId="0" fontId="8" fillId="0" borderId="8" xfId="5" applyFont="1" applyBorder="1" applyAlignment="1">
      <alignment horizontal="center" vertical="top" wrapText="1"/>
    </xf>
    <xf numFmtId="3" fontId="8" fillId="0" borderId="9" xfId="5" applyNumberFormat="1" applyFont="1" applyBorder="1" applyAlignment="1">
      <alignment horizontal="center"/>
    </xf>
    <xf numFmtId="165" fontId="8" fillId="0" borderId="9" xfId="5" applyNumberFormat="1" applyFont="1" applyBorder="1" applyAlignment="1">
      <alignment horizontal="center"/>
    </xf>
    <xf numFmtId="165" fontId="7" fillId="2" borderId="9" xfId="5" applyNumberFormat="1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165" fontId="5" fillId="0" borderId="0" xfId="5" applyNumberFormat="1" applyFont="1" applyAlignment="1">
      <alignment horizontal="left"/>
    </xf>
    <xf numFmtId="0" fontId="10" fillId="0" borderId="9" xfId="5" applyFont="1" applyBorder="1"/>
    <xf numFmtId="0" fontId="6" fillId="0" borderId="9" xfId="5" applyFont="1" applyBorder="1"/>
    <xf numFmtId="0" fontId="8" fillId="0" borderId="10" xfId="5" applyFont="1" applyBorder="1" applyAlignment="1">
      <alignment horizontal="center" vertical="center" wrapText="1"/>
    </xf>
    <xf numFmtId="0" fontId="12" fillId="0" borderId="0" xfId="5" applyFont="1" applyAlignment="1">
      <alignment horizontal="left"/>
    </xf>
    <xf numFmtId="165" fontId="8" fillId="5" borderId="0" xfId="5" applyNumberFormat="1" applyFont="1" applyFill="1" applyAlignment="1">
      <alignment horizontal="center" vertical="center"/>
    </xf>
    <xf numFmtId="165" fontId="12" fillId="3" borderId="0" xfId="5" applyNumberFormat="1" applyFont="1" applyFill="1" applyAlignment="1">
      <alignment horizontal="center"/>
    </xf>
    <xf numFmtId="165" fontId="12" fillId="5" borderId="0" xfId="5" applyNumberFormat="1" applyFont="1" applyFill="1" applyAlignment="1">
      <alignment horizontal="center"/>
    </xf>
    <xf numFmtId="165" fontId="12" fillId="0" borderId="0" xfId="5" applyNumberFormat="1" applyFont="1" applyAlignment="1">
      <alignment horizontal="center"/>
    </xf>
    <xf numFmtId="0" fontId="13" fillId="0" borderId="9" xfId="5" applyFont="1" applyBorder="1"/>
    <xf numFmtId="165" fontId="6" fillId="0" borderId="9" xfId="5" applyNumberFormat="1" applyFont="1" applyBorder="1"/>
    <xf numFmtId="0" fontId="8" fillId="3" borderId="0" xfId="5" applyFont="1" applyFill="1" applyAlignment="1">
      <alignment horizontal="center" vertical="top" wrapText="1"/>
    </xf>
    <xf numFmtId="0" fontId="8" fillId="6" borderId="0" xfId="5" applyFont="1" applyFill="1" applyAlignment="1">
      <alignment horizontal="center" vertical="top" wrapText="1"/>
    </xf>
    <xf numFmtId="0" fontId="8" fillId="7" borderId="0" xfId="5" applyFont="1" applyFill="1" applyAlignment="1">
      <alignment horizontal="center" vertical="top" wrapText="1"/>
    </xf>
    <xf numFmtId="0" fontId="15" fillId="0" borderId="0" xfId="5" applyFont="1" applyAlignment="1">
      <alignment horizontal="center"/>
    </xf>
    <xf numFmtId="165" fontId="12" fillId="6" borderId="0" xfId="5" applyNumberFormat="1" applyFont="1" applyFill="1" applyAlignment="1">
      <alignment horizontal="center"/>
    </xf>
    <xf numFmtId="165" fontId="12" fillId="7" borderId="0" xfId="5" applyNumberFormat="1" applyFont="1" applyFill="1" applyAlignment="1">
      <alignment horizontal="center"/>
    </xf>
    <xf numFmtId="0" fontId="6" fillId="5" borderId="18" xfId="5" applyFont="1" applyFill="1" applyBorder="1"/>
    <xf numFmtId="0" fontId="6" fillId="5" borderId="13" xfId="5" applyFont="1" applyFill="1" applyBorder="1"/>
    <xf numFmtId="0" fontId="6" fillId="5" borderId="14" xfId="5" applyFont="1" applyFill="1" applyBorder="1"/>
    <xf numFmtId="0" fontId="11" fillId="0" borderId="0" xfId="5" applyFont="1" applyAlignment="1">
      <alignment horizontal="left"/>
    </xf>
    <xf numFmtId="0" fontId="1" fillId="5" borderId="0" xfId="5" applyFill="1"/>
    <xf numFmtId="0" fontId="0" fillId="5" borderId="0" xfId="5" applyFont="1" applyFill="1"/>
    <xf numFmtId="0" fontId="6" fillId="5" borderId="13" xfId="5" applyFont="1" applyFill="1" applyBorder="1" applyAlignment="1">
      <alignment horizontal="left"/>
    </xf>
    <xf numFmtId="0" fontId="4" fillId="0" borderId="22" xfId="5" applyFont="1" applyBorder="1" applyAlignment="1">
      <alignment horizontal="left"/>
    </xf>
    <xf numFmtId="0" fontId="6" fillId="0" borderId="22" xfId="5" applyFont="1" applyBorder="1" applyAlignment="1">
      <alignment horizontal="left"/>
    </xf>
    <xf numFmtId="0" fontId="6" fillId="5" borderId="22" xfId="5" applyFont="1" applyFill="1" applyBorder="1" applyAlignment="1">
      <alignment horizontal="left"/>
    </xf>
    <xf numFmtId="0" fontId="5" fillId="5" borderId="13" xfId="5" applyFont="1" applyFill="1" applyBorder="1"/>
    <xf numFmtId="2" fontId="5" fillId="5" borderId="13" xfId="5" applyNumberFormat="1" applyFont="1" applyFill="1" applyBorder="1"/>
    <xf numFmtId="0" fontId="12" fillId="5" borderId="0" xfId="5" applyFont="1" applyFill="1"/>
    <xf numFmtId="0" fontId="5" fillId="5" borderId="8" xfId="5" applyFont="1" applyFill="1" applyBorder="1" applyAlignment="1">
      <alignment horizontal="center" vertical="top" wrapText="1"/>
    </xf>
    <xf numFmtId="9" fontId="1" fillId="4" borderId="0" xfId="5" applyNumberFormat="1" applyFill="1"/>
    <xf numFmtId="9" fontId="0" fillId="0" borderId="0" xfId="10" applyFont="1" applyFill="1" applyBorder="1" applyAlignment="1" applyProtection="1"/>
    <xf numFmtId="0" fontId="2" fillId="2" borderId="1" xfId="5" applyFont="1" applyFill="1" applyBorder="1" applyAlignment="1">
      <alignment horizontal="center"/>
    </xf>
    <xf numFmtId="0" fontId="2" fillId="2" borderId="2" xfId="5" applyFont="1" applyFill="1" applyBorder="1" applyAlignment="1">
      <alignment horizontal="center"/>
    </xf>
    <xf numFmtId="0" fontId="2" fillId="2" borderId="3" xfId="5" applyFont="1" applyFill="1" applyBorder="1" applyAlignment="1">
      <alignment horizontal="center"/>
    </xf>
    <xf numFmtId="0" fontId="9" fillId="2" borderId="4" xfId="5" applyFont="1" applyFill="1" applyBorder="1" applyAlignment="1">
      <alignment horizontal="left" vertical="top"/>
    </xf>
    <xf numFmtId="0" fontId="9" fillId="2" borderId="0" xfId="5" applyFont="1" applyFill="1" applyAlignment="1">
      <alignment horizontal="left" vertical="top"/>
    </xf>
    <xf numFmtId="0" fontId="9" fillId="2" borderId="5" xfId="5" applyFont="1" applyFill="1" applyBorder="1" applyAlignment="1">
      <alignment horizontal="left" vertical="top"/>
    </xf>
    <xf numFmtId="0" fontId="4" fillId="0" borderId="13" xfId="5" applyFont="1" applyBorder="1" applyAlignment="1">
      <alignment horizontal="left" vertical="center"/>
    </xf>
    <xf numFmtId="3" fontId="7" fillId="3" borderId="0" xfId="5" applyNumberFormat="1" applyFont="1" applyFill="1" applyAlignment="1">
      <alignment horizontal="center"/>
    </xf>
    <xf numFmtId="3" fontId="7" fillId="3" borderId="5" xfId="5" applyNumberFormat="1" applyFont="1" applyFill="1" applyBorder="1" applyAlignment="1">
      <alignment horizontal="center"/>
    </xf>
    <xf numFmtId="3" fontId="8" fillId="3" borderId="0" xfId="5" applyNumberFormat="1" applyFont="1" applyFill="1" applyAlignment="1">
      <alignment horizontal="center"/>
    </xf>
    <xf numFmtId="3" fontId="8" fillId="3" borderId="5" xfId="5" applyNumberFormat="1" applyFont="1" applyFill="1" applyBorder="1" applyAlignment="1">
      <alignment horizontal="center"/>
    </xf>
    <xf numFmtId="0" fontId="4" fillId="0" borderId="22" xfId="5" applyFont="1" applyBorder="1" applyAlignment="1" applyProtection="1">
      <alignment horizontal="center"/>
      <protection locked="0"/>
    </xf>
    <xf numFmtId="0" fontId="5" fillId="0" borderId="19" xfId="5" applyFont="1" applyBorder="1" applyAlignment="1" applyProtection="1">
      <alignment horizontal="center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5" fillId="0" borderId="5" xfId="5" applyFont="1" applyBorder="1" applyAlignment="1" applyProtection="1">
      <alignment horizontal="center" vertical="center"/>
      <protection locked="0"/>
    </xf>
    <xf numFmtId="0" fontId="5" fillId="0" borderId="20" xfId="5" applyFont="1" applyBorder="1" applyAlignment="1" applyProtection="1">
      <alignment horizontal="center" vertical="center"/>
      <protection locked="0"/>
    </xf>
    <xf numFmtId="0" fontId="5" fillId="0" borderId="10" xfId="5" applyFont="1" applyBorder="1" applyAlignment="1" applyProtection="1">
      <alignment horizontal="center" vertical="center"/>
      <protection locked="0"/>
    </xf>
    <xf numFmtId="0" fontId="5" fillId="0" borderId="23" xfId="5" applyFont="1" applyBorder="1" applyAlignment="1" applyProtection="1">
      <alignment horizontal="center" vertical="center"/>
      <protection locked="0"/>
    </xf>
    <xf numFmtId="0" fontId="4" fillId="0" borderId="17" xfId="5" applyFont="1" applyBorder="1" applyAlignment="1">
      <alignment horizontal="left" vertical="center"/>
    </xf>
    <xf numFmtId="0" fontId="6" fillId="2" borderId="0" xfId="5" applyFont="1" applyFill="1" applyAlignment="1">
      <alignment horizontal="center"/>
    </xf>
    <xf numFmtId="167" fontId="10" fillId="2" borderId="0" xfId="5" applyNumberFormat="1" applyFont="1" applyFill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8" fillId="5" borderId="0" xfId="5" applyFont="1" applyFill="1" applyAlignment="1">
      <alignment horizontal="center"/>
    </xf>
    <xf numFmtId="165" fontId="12" fillId="5" borderId="0" xfId="5" applyNumberFormat="1" applyFont="1" applyFill="1" applyAlignment="1">
      <alignment horizontal="center"/>
    </xf>
    <xf numFmtId="0" fontId="13" fillId="0" borderId="0" xfId="5" applyFont="1" applyAlignment="1">
      <alignment horizontal="center" vertical="center"/>
    </xf>
    <xf numFmtId="0" fontId="11" fillId="2" borderId="0" xfId="5" applyFont="1" applyFill="1" applyAlignment="1">
      <alignment horizontal="left"/>
    </xf>
    <xf numFmtId="0" fontId="11" fillId="0" borderId="0" xfId="5" applyFont="1" applyAlignment="1">
      <alignment horizontal="left"/>
    </xf>
    <xf numFmtId="0" fontId="12" fillId="0" borderId="0" xfId="5" applyFont="1" applyAlignment="1">
      <alignment horizontal="left"/>
    </xf>
    <xf numFmtId="0" fontId="17" fillId="0" borderId="22" xfId="5" applyFont="1" applyBorder="1" applyAlignment="1" applyProtection="1">
      <alignment horizontal="center"/>
      <protection locked="0"/>
    </xf>
    <xf numFmtId="0" fontId="3" fillId="0" borderId="22" xfId="2" applyFill="1" applyBorder="1" applyAlignment="1" applyProtection="1">
      <alignment horizontal="center"/>
      <protection locked="0"/>
    </xf>
    <xf numFmtId="0" fontId="18" fillId="0" borderId="22" xfId="2" applyFont="1" applyFill="1" applyBorder="1" applyAlignment="1" applyProtection="1">
      <alignment horizontal="center"/>
      <protection locked="0"/>
    </xf>
    <xf numFmtId="0" fontId="4" fillId="0" borderId="24" xfId="5" applyFont="1" applyBorder="1" applyAlignment="1">
      <alignment vertical="top"/>
    </xf>
    <xf numFmtId="0" fontId="1" fillId="0" borderId="0" xfId="5" applyBorder="1"/>
    <xf numFmtId="0" fontId="4" fillId="0" borderId="26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27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6" fillId="0" borderId="29" xfId="5" applyFont="1" applyBorder="1" applyAlignment="1">
      <alignment horizontal="left"/>
    </xf>
    <xf numFmtId="0" fontId="6" fillId="0" borderId="30" xfId="5" applyFont="1" applyBorder="1" applyAlignment="1">
      <alignment horizontal="left" vertical="top"/>
    </xf>
    <xf numFmtId="0" fontId="6" fillId="0" borderId="25" xfId="5" applyFont="1" applyBorder="1" applyAlignment="1">
      <alignment horizontal="left" vertical="top"/>
    </xf>
    <xf numFmtId="165" fontId="8" fillId="0" borderId="8" xfId="5" applyNumberFormat="1" applyFont="1" applyBorder="1" applyAlignment="1">
      <alignment horizontal="center" vertical="center"/>
    </xf>
    <xf numFmtId="165" fontId="8" fillId="0" borderId="9" xfId="5" applyNumberFormat="1" applyFont="1" applyBorder="1" applyAlignment="1">
      <alignment horizontal="center" vertical="center"/>
    </xf>
    <xf numFmtId="165" fontId="12" fillId="12" borderId="0" xfId="5" applyNumberFormat="1" applyFont="1" applyFill="1" applyAlignment="1">
      <alignment horizontal="center"/>
    </xf>
    <xf numFmtId="2" fontId="12" fillId="12" borderId="0" xfId="5" applyNumberFormat="1" applyFont="1" applyFill="1" applyAlignment="1">
      <alignment horizontal="center"/>
    </xf>
    <xf numFmtId="2" fontId="12" fillId="11" borderId="0" xfId="5" applyNumberFormat="1" applyFont="1" applyFill="1" applyAlignment="1">
      <alignment horizontal="center"/>
    </xf>
    <xf numFmtId="165" fontId="12" fillId="11" borderId="0" xfId="5" applyNumberFormat="1" applyFont="1" applyFill="1" applyAlignment="1">
      <alignment horizontal="center"/>
    </xf>
  </cellXfs>
  <cellStyles count="11">
    <cellStyle name="Normal" xfId="0" builtinId="0"/>
    <cellStyle name="Normal 2" xfId="4" xr:uid="{00000000-0005-0000-0000-000001000000}"/>
    <cellStyle name="Normal 2 2" xfId="7" xr:uid="{00000000-0005-0000-0000-000002000000}"/>
    <cellStyle name="Normal 2 2 2" xfId="3" xr:uid="{00000000-0005-0000-0000-000003000000}"/>
    <cellStyle name="Normal 2 2 2 2" xfId="5" xr:uid="{00000000-0005-0000-0000-000004000000}"/>
    <cellStyle name="Percent" xfId="10" builtinId="5"/>
    <cellStyle name="Porcentaje 2" xfId="8" xr:uid="{00000000-0005-0000-0000-000005000000}"/>
    <cellStyle name="Porcentaje 2 2" xfId="6" xr:uid="{00000000-0005-0000-0000-000006000000}"/>
    <cellStyle name="Porcentaje 2 2 2" xfId="1" xr:uid="{00000000-0005-0000-0000-000007000000}"/>
    <cellStyle name="Porcentaje 2 2 2 2" xfId="9" xr:uid="{00000000-0005-0000-0000-000008000000}"/>
    <cellStyle name="היפר-קישור" xfId="2" builtinId="8"/>
  </cellStyles>
  <dxfs count="0"/>
  <tableStyles count="0" defaultTableStyle="TableStyleMedium2" defaultPivotStyle="PivotStyleLight16"/>
  <colors>
    <mruColors>
      <color rgb="FFE2EFDA"/>
      <color rgb="FFFFD800"/>
      <color rgb="FFF8F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www.wps.cn/officeDocument/2020/cellImage" Target="cellimag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Incremento</a:t>
            </a:r>
            <a:r>
              <a:rPr lang="es-MX" baseline="0"/>
              <a:t> en Producción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BD!$M$2</c:f>
              <c:strCache>
                <c:ptCount val="1"/>
                <c:pt idx="0">
                  <c:v>Costo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BD!$M$3:$M$13</c:f>
              <c:numCache>
                <c:formatCode>"$"#,##0</c:formatCode>
                <c:ptCount val="11"/>
                <c:pt idx="0">
                  <c:v>1985</c:v>
                </c:pt>
                <c:pt idx="1">
                  <c:v>2270</c:v>
                </c:pt>
                <c:pt idx="2">
                  <c:v>2555</c:v>
                </c:pt>
                <c:pt idx="3">
                  <c:v>2840</c:v>
                </c:pt>
                <c:pt idx="4">
                  <c:v>3125</c:v>
                </c:pt>
                <c:pt idx="5">
                  <c:v>3410</c:v>
                </c:pt>
                <c:pt idx="6">
                  <c:v>3695</c:v>
                </c:pt>
                <c:pt idx="7">
                  <c:v>3980</c:v>
                </c:pt>
                <c:pt idx="8">
                  <c:v>4265</c:v>
                </c:pt>
                <c:pt idx="9">
                  <c:v>4550</c:v>
                </c:pt>
                <c:pt idx="10">
                  <c:v>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B7-4422-9F14-408DA9DC67F2}"/>
            </c:ext>
          </c:extLst>
        </c:ser>
        <c:ser>
          <c:idx val="1"/>
          <c:order val="1"/>
          <c:tx>
            <c:strRef>
              <c:f>BD!$N$2</c:f>
              <c:strCache>
                <c:ptCount val="1"/>
                <c:pt idx="0">
                  <c:v>Ganancia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BD!$N$3:$N$13</c:f>
              <c:numCache>
                <c:formatCode>"$"#,##0</c:formatCode>
                <c:ptCount val="11"/>
                <c:pt idx="0">
                  <c:v>0</c:v>
                </c:pt>
                <c:pt idx="1">
                  <c:v>1647.48</c:v>
                </c:pt>
                <c:pt idx="2">
                  <c:v>3294.96</c:v>
                </c:pt>
                <c:pt idx="3">
                  <c:v>4942.4400000000005</c:v>
                </c:pt>
                <c:pt idx="4">
                  <c:v>6589.92</c:v>
                </c:pt>
                <c:pt idx="5">
                  <c:v>8237.4</c:v>
                </c:pt>
                <c:pt idx="6">
                  <c:v>9884.8799999999992</c:v>
                </c:pt>
                <c:pt idx="7">
                  <c:v>11532.359999999999</c:v>
                </c:pt>
                <c:pt idx="8">
                  <c:v>13179.839999999998</c:v>
                </c:pt>
                <c:pt idx="9">
                  <c:v>14827.319999999998</c:v>
                </c:pt>
                <c:pt idx="10">
                  <c:v>16474.8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7-4422-9F14-408DA9DC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391424"/>
        <c:axId val="295852984"/>
      </c:lineChart>
      <c:catAx>
        <c:axId val="3723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95852984"/>
        <c:crosses val="autoZero"/>
        <c:auto val="1"/>
        <c:lblAlgn val="ctr"/>
        <c:lblOffset val="100"/>
        <c:noMultiLvlLbl val="0"/>
      </c:catAx>
      <c:valAx>
        <c:axId val="295852984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723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Solo Ahorro en Fertilizantes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BD!$O$2</c:f>
              <c:strCache>
                <c:ptCount val="1"/>
                <c:pt idx="0">
                  <c:v>Costo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BD!$O$3:$O$13</c:f>
              <c:numCache>
                <c:formatCode>"$"#,##0</c:formatCode>
                <c:ptCount val="11"/>
                <c:pt idx="0">
                  <c:v>1800</c:v>
                </c:pt>
                <c:pt idx="1">
                  <c:v>1935</c:v>
                </c:pt>
                <c:pt idx="2">
                  <c:v>2070</c:v>
                </c:pt>
                <c:pt idx="3">
                  <c:v>2205</c:v>
                </c:pt>
                <c:pt idx="4">
                  <c:v>2340</c:v>
                </c:pt>
                <c:pt idx="5">
                  <c:v>2475</c:v>
                </c:pt>
                <c:pt idx="6">
                  <c:v>2610</c:v>
                </c:pt>
                <c:pt idx="7">
                  <c:v>2745</c:v>
                </c:pt>
                <c:pt idx="8">
                  <c:v>2880</c:v>
                </c:pt>
                <c:pt idx="9">
                  <c:v>3015</c:v>
                </c:pt>
                <c:pt idx="10">
                  <c:v>3150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D-4BBA-9101-5C5DDF98B2A7}"/>
            </c:ext>
          </c:extLst>
        </c:ser>
        <c:ser>
          <c:idx val="1"/>
          <c:order val="1"/>
          <c:tx>
            <c:strRef>
              <c:f>BD!$P$2</c:f>
              <c:strCache>
                <c:ptCount val="1"/>
                <c:pt idx="0">
                  <c:v>Ahorros en fertilizante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BD!$P$3:$P$13</c:f>
              <c:numCache>
                <c:formatCode>"$"#,##0</c:formatCode>
                <c:ptCount val="11"/>
                <c:pt idx="0">
                  <c:v>0</c:v>
                </c:pt>
                <c:pt idx="1">
                  <c:v>1647.48</c:v>
                </c:pt>
                <c:pt idx="2">
                  <c:v>3294.96</c:v>
                </c:pt>
                <c:pt idx="3">
                  <c:v>4942.4400000000005</c:v>
                </c:pt>
                <c:pt idx="4">
                  <c:v>6589.92</c:v>
                </c:pt>
                <c:pt idx="5">
                  <c:v>8237.4</c:v>
                </c:pt>
                <c:pt idx="6">
                  <c:v>9884.8799999999992</c:v>
                </c:pt>
                <c:pt idx="7">
                  <c:v>11532.359999999999</c:v>
                </c:pt>
                <c:pt idx="8">
                  <c:v>13179.839999999998</c:v>
                </c:pt>
                <c:pt idx="9">
                  <c:v>14827.319999999998</c:v>
                </c:pt>
                <c:pt idx="10">
                  <c:v>16474.8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D-4BBA-9101-5C5DDF98B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259504"/>
        <c:axId val="447259896"/>
      </c:lineChart>
      <c:catAx>
        <c:axId val="447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59896"/>
        <c:crosses val="autoZero"/>
        <c:auto val="1"/>
        <c:lblAlgn val="ctr"/>
        <c:lblOffset val="100"/>
        <c:noMultiLvlLbl val="0"/>
      </c:catAx>
      <c:valAx>
        <c:axId val="447259896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5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6.1317677756033903E-2"/>
          <c:y val="3.6639676113360303E-2"/>
          <c:w val="0.88636660143509505"/>
          <c:h val="0.77753036437247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25400"/>
          </c:spPr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/>
            </c:spPr>
            <c:extLst>
              <c:ext xmlns:c16="http://schemas.microsoft.com/office/drawing/2014/chart" uri="{C3380CC4-5D6E-409C-BE32-E72D297353CC}">
                <c16:uniqueId val="{00000001-D965-46F5-AB31-A7EB941EE1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/>
            </c:spPr>
            <c:extLst>
              <c:ext xmlns:c16="http://schemas.microsoft.com/office/drawing/2014/chart" uri="{C3380CC4-5D6E-409C-BE32-E72D297353CC}">
                <c16:uniqueId val="{00000003-D965-46F5-AB31-A7EB941EE16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/>
            </c:spPr>
            <c:extLst>
              <c:ext xmlns:c16="http://schemas.microsoft.com/office/drawing/2014/chart" uri="{C3380CC4-5D6E-409C-BE32-E72D297353CC}">
                <c16:uniqueId val="{00000005-D965-46F5-AB31-A7EB941EE169}"/>
              </c:ext>
            </c:extLst>
          </c:dPt>
          <c:dLbls>
            <c:dLbl>
              <c:idx val="0"/>
              <c:layout>
                <c:manualLayout>
                  <c:x val="-0.181129102585147"/>
                  <c:y val="3.9760791426458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01156188918"/>
                      <c:h val="0.20312115697625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965-46F5-AB31-A7EB941EE169}"/>
                </c:ext>
              </c:extLst>
            </c:dLbl>
            <c:dLbl>
              <c:idx val="1"/>
              <c:layout>
                <c:manualLayout>
                  <c:x val="-0.13563577279981301"/>
                  <c:y val="-0.1368228424421470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16588619270599"/>
                      <c:h val="0.1117381489841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965-46F5-AB31-A7EB941EE169}"/>
                </c:ext>
              </c:extLst>
            </c:dLbl>
            <c:dLbl>
              <c:idx val="2"/>
              <c:layout>
                <c:manualLayout>
                  <c:x val="4.3490349176644801E-2"/>
                  <c:y val="-0.10637543926422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1076830197679"/>
                      <c:h val="0.111738182819090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965-46F5-AB31-A7EB941EE1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Reporte!$G$40:$I$40</c:f>
              <c:strCache>
                <c:ptCount val="3"/>
                <c:pt idx="0">
                  <c:v>Gas</c:v>
                </c:pt>
                <c:pt idx="1">
                  <c:v>Fertilizante</c:v>
                </c:pt>
                <c:pt idx="2">
                  <c:v>Producción</c:v>
                </c:pt>
              </c:strCache>
            </c:strRef>
          </c:cat>
          <c:val>
            <c:numRef>
              <c:f>Reporte!$G$41:$I$41</c:f>
              <c:numCache>
                <c:formatCode>"$"#,##0</c:formatCode>
                <c:ptCount val="3"/>
                <c:pt idx="0">
                  <c:v>3474.8</c:v>
                </c:pt>
                <c:pt idx="1">
                  <c:v>13000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65-46F5-AB31-A7EB941EE1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445017039457102"/>
          <c:w val="1"/>
          <c:h val="0.1588832895888009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3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Ahorro en Fertilizantes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BD!$O$2</c:f>
              <c:strCache>
                <c:ptCount val="1"/>
                <c:pt idx="0">
                  <c:v>Costo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BD!$O$3:$O$13</c:f>
              <c:numCache>
                <c:formatCode>"$"#,##0</c:formatCode>
                <c:ptCount val="11"/>
                <c:pt idx="0">
                  <c:v>1800</c:v>
                </c:pt>
                <c:pt idx="1">
                  <c:v>1935</c:v>
                </c:pt>
                <c:pt idx="2">
                  <c:v>2070</c:v>
                </c:pt>
                <c:pt idx="3">
                  <c:v>2205</c:v>
                </c:pt>
                <c:pt idx="4">
                  <c:v>2340</c:v>
                </c:pt>
                <c:pt idx="5">
                  <c:v>2475</c:v>
                </c:pt>
                <c:pt idx="6">
                  <c:v>2610</c:v>
                </c:pt>
                <c:pt idx="7">
                  <c:v>2745</c:v>
                </c:pt>
                <c:pt idx="8">
                  <c:v>2880</c:v>
                </c:pt>
                <c:pt idx="9">
                  <c:v>3015</c:v>
                </c:pt>
                <c:pt idx="10">
                  <c:v>3150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1-4E16-B57F-5DE3DCB25C95}"/>
            </c:ext>
          </c:extLst>
        </c:ser>
        <c:ser>
          <c:idx val="1"/>
          <c:order val="1"/>
          <c:tx>
            <c:strRef>
              <c:f>BD!$P$2</c:f>
              <c:strCache>
                <c:ptCount val="1"/>
                <c:pt idx="0">
                  <c:v>Ahorros en fertilizante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BD!$P$3:$P$13</c:f>
              <c:numCache>
                <c:formatCode>"$"#,##0</c:formatCode>
                <c:ptCount val="11"/>
                <c:pt idx="0">
                  <c:v>0</c:v>
                </c:pt>
                <c:pt idx="1">
                  <c:v>1647.48</c:v>
                </c:pt>
                <c:pt idx="2">
                  <c:v>3294.96</c:v>
                </c:pt>
                <c:pt idx="3">
                  <c:v>4942.4400000000005</c:v>
                </c:pt>
                <c:pt idx="4">
                  <c:v>6589.92</c:v>
                </c:pt>
                <c:pt idx="5">
                  <c:v>8237.4</c:v>
                </c:pt>
                <c:pt idx="6">
                  <c:v>9884.8799999999992</c:v>
                </c:pt>
                <c:pt idx="7">
                  <c:v>11532.359999999999</c:v>
                </c:pt>
                <c:pt idx="8">
                  <c:v>13179.839999999998</c:v>
                </c:pt>
                <c:pt idx="9">
                  <c:v>14827.319999999998</c:v>
                </c:pt>
                <c:pt idx="10">
                  <c:v>16474.8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1-4E16-B57F-5DE3DCB2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259112"/>
        <c:axId val="447261464"/>
      </c:lineChart>
      <c:catAx>
        <c:axId val="44725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61464"/>
        <c:crosses val="autoZero"/>
        <c:auto val="1"/>
        <c:lblAlgn val="ctr"/>
        <c:lblOffset val="100"/>
        <c:noMultiLvlLbl val="0"/>
      </c:catAx>
      <c:valAx>
        <c:axId val="447261464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5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baseline="0">
                <a:effectLst/>
              </a:rPr>
              <a:t>Ahorro en Fertilizantes + gas + i</a:t>
            </a:r>
            <a:r>
              <a:rPr lang="es-MX"/>
              <a:t>ncremento</a:t>
            </a:r>
            <a:r>
              <a:rPr lang="es-MX" baseline="0"/>
              <a:t> en producción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BD!$M$2</c:f>
              <c:strCache>
                <c:ptCount val="1"/>
                <c:pt idx="0">
                  <c:v>Costo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BD!$M$3:$M$13</c:f>
              <c:numCache>
                <c:formatCode>"$"#,##0</c:formatCode>
                <c:ptCount val="11"/>
                <c:pt idx="0">
                  <c:v>1985</c:v>
                </c:pt>
                <c:pt idx="1">
                  <c:v>2270</c:v>
                </c:pt>
                <c:pt idx="2">
                  <c:v>2555</c:v>
                </c:pt>
                <c:pt idx="3">
                  <c:v>2840</c:v>
                </c:pt>
                <c:pt idx="4">
                  <c:v>3125</c:v>
                </c:pt>
                <c:pt idx="5">
                  <c:v>3410</c:v>
                </c:pt>
                <c:pt idx="6">
                  <c:v>3695</c:v>
                </c:pt>
                <c:pt idx="7">
                  <c:v>3980</c:v>
                </c:pt>
                <c:pt idx="8">
                  <c:v>4265</c:v>
                </c:pt>
                <c:pt idx="9">
                  <c:v>4550</c:v>
                </c:pt>
                <c:pt idx="10">
                  <c:v>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C-4190-8966-A077D4C9F2F6}"/>
            </c:ext>
          </c:extLst>
        </c:ser>
        <c:ser>
          <c:idx val="1"/>
          <c:order val="1"/>
          <c:tx>
            <c:strRef>
              <c:f>BD!$N$2</c:f>
              <c:strCache>
                <c:ptCount val="1"/>
                <c:pt idx="0">
                  <c:v>Ganancia Total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BD!$N$3:$N$13</c:f>
              <c:numCache>
                <c:formatCode>"$"#,##0</c:formatCode>
                <c:ptCount val="11"/>
                <c:pt idx="0">
                  <c:v>0</c:v>
                </c:pt>
                <c:pt idx="1">
                  <c:v>1647.48</c:v>
                </c:pt>
                <c:pt idx="2">
                  <c:v>3294.96</c:v>
                </c:pt>
                <c:pt idx="3">
                  <c:v>4942.4400000000005</c:v>
                </c:pt>
                <c:pt idx="4">
                  <c:v>6589.92</c:v>
                </c:pt>
                <c:pt idx="5">
                  <c:v>8237.4</c:v>
                </c:pt>
                <c:pt idx="6">
                  <c:v>9884.8799999999992</c:v>
                </c:pt>
                <c:pt idx="7">
                  <c:v>11532.359999999999</c:v>
                </c:pt>
                <c:pt idx="8">
                  <c:v>13179.839999999998</c:v>
                </c:pt>
                <c:pt idx="9">
                  <c:v>14827.319999999998</c:v>
                </c:pt>
                <c:pt idx="10">
                  <c:v>16474.8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C-4190-8966-A077D4C9F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263816"/>
        <c:axId val="447264600"/>
      </c:lineChart>
      <c:catAx>
        <c:axId val="44726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64600"/>
        <c:crosses val="autoZero"/>
        <c:auto val="1"/>
        <c:lblAlgn val="ctr"/>
        <c:lblOffset val="100"/>
        <c:noMultiLvlLbl val="0"/>
      </c:catAx>
      <c:valAx>
        <c:axId val="447264600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6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Solo Ahorro en Fertilizantes +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BD!$O$2</c:f>
              <c:strCache>
                <c:ptCount val="1"/>
                <c:pt idx="0">
                  <c:v>Costo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BD!$O$3:$O$13</c:f>
              <c:numCache>
                <c:formatCode>"$"#,##0</c:formatCode>
                <c:ptCount val="11"/>
                <c:pt idx="0">
                  <c:v>1800</c:v>
                </c:pt>
                <c:pt idx="1">
                  <c:v>1935</c:v>
                </c:pt>
                <c:pt idx="2">
                  <c:v>2070</c:v>
                </c:pt>
                <c:pt idx="3">
                  <c:v>2205</c:v>
                </c:pt>
                <c:pt idx="4">
                  <c:v>2340</c:v>
                </c:pt>
                <c:pt idx="5">
                  <c:v>2475</c:v>
                </c:pt>
                <c:pt idx="6">
                  <c:v>2610</c:v>
                </c:pt>
                <c:pt idx="7">
                  <c:v>2745</c:v>
                </c:pt>
                <c:pt idx="8">
                  <c:v>2880</c:v>
                </c:pt>
                <c:pt idx="9">
                  <c:v>3015</c:v>
                </c:pt>
                <c:pt idx="10">
                  <c:v>3150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3-44C7-8FA1-4F4A4D5709D4}"/>
            </c:ext>
          </c:extLst>
        </c:ser>
        <c:ser>
          <c:idx val="1"/>
          <c:order val="1"/>
          <c:tx>
            <c:strRef>
              <c:f>BD!$P$2</c:f>
              <c:strCache>
                <c:ptCount val="1"/>
                <c:pt idx="0">
                  <c:v>Ahorros en fertilizante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BD!$L$3:$L$13</c:f>
              <c:strCache>
                <c:ptCount val="11"/>
                <c:pt idx="0">
                  <c:v>Año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BD!$P$3:$P$13</c:f>
              <c:numCache>
                <c:formatCode>"$"#,##0</c:formatCode>
                <c:ptCount val="11"/>
                <c:pt idx="0">
                  <c:v>0</c:v>
                </c:pt>
                <c:pt idx="1">
                  <c:v>1647.48</c:v>
                </c:pt>
                <c:pt idx="2">
                  <c:v>3294.96</c:v>
                </c:pt>
                <c:pt idx="3">
                  <c:v>4942.4400000000005</c:v>
                </c:pt>
                <c:pt idx="4">
                  <c:v>6589.92</c:v>
                </c:pt>
                <c:pt idx="5">
                  <c:v>8237.4</c:v>
                </c:pt>
                <c:pt idx="6">
                  <c:v>9884.8799999999992</c:v>
                </c:pt>
                <c:pt idx="7">
                  <c:v>11532.359999999999</c:v>
                </c:pt>
                <c:pt idx="8">
                  <c:v>13179.839999999998</c:v>
                </c:pt>
                <c:pt idx="9">
                  <c:v>14827.319999999998</c:v>
                </c:pt>
                <c:pt idx="10">
                  <c:v>16474.8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B3-44C7-8FA1-4F4A4D57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259504"/>
        <c:axId val="447259896"/>
      </c:lineChart>
      <c:catAx>
        <c:axId val="447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59896"/>
        <c:crosses val="autoZero"/>
        <c:auto val="1"/>
        <c:lblAlgn val="ctr"/>
        <c:lblOffset val="100"/>
        <c:noMultiLvlLbl val="0"/>
      </c:catAx>
      <c:valAx>
        <c:axId val="447259896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4725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0</xdr:rowOff>
    </xdr:from>
    <xdr:to>
      <xdr:col>16</xdr:col>
      <xdr:colOff>709295</xdr:colOff>
      <xdr:row>41</xdr:row>
      <xdr:rowOff>62865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69850</xdr:colOff>
      <xdr:row>41</xdr:row>
      <xdr:rowOff>66040</xdr:rowOff>
    </xdr:from>
    <xdr:to>
      <xdr:col>17</xdr:col>
      <xdr:colOff>45085</xdr:colOff>
      <xdr:row>56</xdr:row>
      <xdr:rowOff>149225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1299882</xdr:colOff>
      <xdr:row>1</xdr:row>
      <xdr:rowOff>40706</xdr:rowOff>
    </xdr:from>
    <xdr:ext cx="1208969" cy="340266"/>
    <xdr:pic>
      <xdr:nvPicPr>
        <xdr:cNvPr id="2" name="Picture 2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4119" t="1333" b="-2"/>
        <a:stretch>
          <a:fillRect/>
        </a:stretch>
      </xdr:blipFill>
      <xdr:spPr>
        <a:xfrm>
          <a:off x="7448176" y="145294"/>
          <a:ext cx="1208969" cy="3402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120199</xdr:colOff>
      <xdr:row>4</xdr:row>
      <xdr:rowOff>223605</xdr:rowOff>
    </xdr:from>
    <xdr:ext cx="978896" cy="1020314"/>
    <xdr:pic>
      <xdr:nvPicPr>
        <xdr:cNvPr id="3" name="Picture 6" descr="flame logo yellow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1913" y="840462"/>
          <a:ext cx="978896" cy="1020314"/>
        </a:xfrm>
        <a:prstGeom prst="rect">
          <a:avLst/>
        </a:prstGeom>
      </xdr:spPr>
    </xdr:pic>
    <xdr:clientData/>
  </xdr:oneCellAnchor>
  <xdr:twoCellAnchor>
    <xdr:from>
      <xdr:col>1</xdr:col>
      <xdr:colOff>123825</xdr:colOff>
      <xdr:row>36</xdr:row>
      <xdr:rowOff>139700</xdr:rowOff>
    </xdr:from>
    <xdr:to>
      <xdr:col>5</xdr:col>
      <xdr:colOff>453571</xdr:colOff>
      <xdr:row>51</xdr:row>
      <xdr:rowOff>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16384</xdr:col>
      <xdr:colOff>77108</xdr:colOff>
      <xdr:row>15</xdr:row>
      <xdr:rowOff>198664</xdr:rowOff>
    </xdr:from>
    <xdr:to>
      <xdr:col>16384</xdr:col>
      <xdr:colOff>4678135</xdr:colOff>
      <xdr:row>27</xdr:row>
      <xdr:rowOff>138794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  <a:ext uri="{147F2762-F138-4A5C-976F-8EAC2B608ADB}">
              <a16:predDERef xmlns:a16="http://schemas.microsoft.com/office/drawing/2014/main" pre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0</xdr:row>
      <xdr:rowOff>0</xdr:rowOff>
    </xdr:from>
    <xdr:ext cx="2217208" cy="556526"/>
    <xdr:pic>
      <xdr:nvPicPr>
        <xdr:cNvPr id="10" name="Picture 2" descr="logo">
          <a:extLst>
            <a:ext uri="{FF2B5EF4-FFF2-40B4-BE49-F238E27FC236}">
              <a16:creationId xmlns:a16="http://schemas.microsoft.com/office/drawing/2014/main" id="{BF12D5BC-0A1C-4E66-AA5B-31A482F4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4119" t="1333" b="-2"/>
        <a:stretch>
          <a:fillRect/>
        </a:stretch>
      </xdr:blipFill>
      <xdr:spPr>
        <a:xfrm>
          <a:off x="63500" y="0"/>
          <a:ext cx="2217208" cy="556526"/>
        </a:xfrm>
        <a:prstGeom prst="rect">
          <a:avLst/>
        </a:prstGeom>
        <a:effectLst>
          <a:reflection stA="35000" endPos="56000" dist="50800" dir="5400000" sy="-100000" algn="bl" rotWithShape="0"/>
        </a:effectLst>
      </xdr:spPr>
    </xdr:pic>
    <xdr:clientData/>
  </xdr:oneCellAnchor>
  <xdr:twoCellAnchor>
    <xdr:from>
      <xdr:col>4</xdr:col>
      <xdr:colOff>823513</xdr:colOff>
      <xdr:row>16</xdr:row>
      <xdr:rowOff>0</xdr:rowOff>
    </xdr:from>
    <xdr:to>
      <xdr:col>9</xdr:col>
      <xdr:colOff>896086</xdr:colOff>
      <xdr:row>28</xdr:row>
      <xdr:rowOff>63500</xdr:rowOff>
    </xdr:to>
    <xdr:graphicFrame macro="">
      <xdr:nvGraphicFramePr>
        <xdr:cNvPr id="11" name="Gráfico 6">
          <a:extLst>
            <a:ext uri="{FF2B5EF4-FFF2-40B4-BE49-F238E27FC236}">
              <a16:creationId xmlns:a16="http://schemas.microsoft.com/office/drawing/2014/main" id="{D45CA337-0B24-4732-96A2-8716C196F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16</xdr:row>
      <xdr:rowOff>9071</xdr:rowOff>
    </xdr:from>
    <xdr:to>
      <xdr:col>4</xdr:col>
      <xdr:colOff>834400</xdr:colOff>
      <xdr:row>28</xdr:row>
      <xdr:rowOff>81643</xdr:rowOff>
    </xdr:to>
    <xdr:graphicFrame macro="">
      <xdr:nvGraphicFramePr>
        <xdr:cNvPr id="12" name="Gráfico 3">
          <a:extLst>
            <a:ext uri="{FF2B5EF4-FFF2-40B4-BE49-F238E27FC236}">
              <a16:creationId xmlns:a16="http://schemas.microsoft.com/office/drawing/2014/main" id="{36984CBA-33A2-40C7-BAE7-A9C66485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I%20Simulator%20(English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Simulator"/>
      <sheetName val="Report"/>
    </sheetNames>
    <sheetDataSet>
      <sheetData sheetId="0">
        <row r="3">
          <cell r="M3">
            <v>1985</v>
          </cell>
          <cell r="O3">
            <v>1800</v>
          </cell>
        </row>
        <row r="6">
          <cell r="B6">
            <v>35</v>
          </cell>
        </row>
        <row r="7">
          <cell r="B7">
            <v>100</v>
          </cell>
        </row>
        <row r="8">
          <cell r="B8">
            <v>150</v>
          </cell>
        </row>
      </sheetData>
      <sheetData sheetId="1">
        <row r="16">
          <cell r="B16">
            <v>1</v>
          </cell>
        </row>
        <row r="31">
          <cell r="B31">
            <v>1700</v>
          </cell>
        </row>
        <row r="47">
          <cell r="B47">
            <v>1647.48</v>
          </cell>
        </row>
        <row r="52">
          <cell r="B52">
            <v>1647.48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gel_Tomato_Growe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opLeftCell="A19" zoomScale="85" zoomScaleNormal="85" workbookViewId="0">
      <selection activeCell="C14" sqref="C14"/>
    </sheetView>
  </sheetViews>
  <sheetFormatPr defaultColWidth="11" defaultRowHeight="14"/>
  <cols>
    <col min="1" max="1" width="34.4140625" style="1" bestFit="1" customWidth="1"/>
    <col min="2" max="2" width="15.1640625" style="1" customWidth="1"/>
    <col min="3" max="3" width="14.4140625" style="1" customWidth="1"/>
    <col min="4" max="4" width="16.4140625" style="1" customWidth="1"/>
    <col min="5" max="5" width="18.83203125" style="1" customWidth="1"/>
    <col min="6" max="16384" width="11" style="1"/>
  </cols>
  <sheetData>
    <row r="1" spans="1:16">
      <c r="A1" s="1" t="s">
        <v>0</v>
      </c>
    </row>
    <row r="2" spans="1:16" ht="28">
      <c r="A2" s="1" t="s">
        <v>1</v>
      </c>
      <c r="L2" s="16" t="s">
        <v>2</v>
      </c>
      <c r="M2" s="16" t="s">
        <v>3</v>
      </c>
      <c r="N2" s="16" t="s">
        <v>4</v>
      </c>
      <c r="O2" s="2" t="s">
        <v>3</v>
      </c>
      <c r="P2" s="16" t="s">
        <v>5</v>
      </c>
    </row>
    <row r="3" spans="1:16">
      <c r="A3" s="1" t="s">
        <v>6</v>
      </c>
      <c r="B3" s="9">
        <v>1700</v>
      </c>
      <c r="C3" s="5"/>
      <c r="L3" s="2" t="s">
        <v>2</v>
      </c>
      <c r="M3" s="3">
        <f>[1]Simulator!B31+[1]BD!$B$7*[1]Simulator!$B$16+[1]BD!$B$8*[1]Simulator!$B$16+[1]BD!$B$6*[1]Simulator!$B$16</f>
        <v>1985</v>
      </c>
      <c r="N3" s="3">
        <v>0</v>
      </c>
      <c r="O3" s="3">
        <f>[1]Simulator!B31+[1]BD!$B$7*[1]Simulator!$B$16</f>
        <v>1800</v>
      </c>
      <c r="P3" s="3">
        <v>0</v>
      </c>
    </row>
    <row r="4" spans="1:16">
      <c r="A4" s="1" t="s">
        <v>115</v>
      </c>
      <c r="B4" s="9">
        <v>1400</v>
      </c>
      <c r="C4" s="5"/>
      <c r="L4" s="2">
        <v>1</v>
      </c>
      <c r="M4" s="3">
        <f>[1]BD!M3+[1]BD!$B$6*[1]Simulator!$B$16+[1]BD!$B$7*[1]Simulator!$B$16+[1]BD!$B$8*[1]Simulator!$B$16</f>
        <v>2270</v>
      </c>
      <c r="N4" s="3">
        <f>[1]Simulator!B47</f>
        <v>1647.48</v>
      </c>
      <c r="O4" s="3">
        <f>[1]BD!O3+[1]BD!$B$6*[1]Simulator!$B$16+[1]BD!$B$7*[1]Simulator!$B$16</f>
        <v>1935</v>
      </c>
      <c r="P4" s="3">
        <f>[1]Simulator!B52</f>
        <v>1647.48</v>
      </c>
    </row>
    <row r="5" spans="1:16">
      <c r="A5" s="1" t="s">
        <v>7</v>
      </c>
      <c r="B5" s="9">
        <v>1130</v>
      </c>
      <c r="L5" s="2">
        <v>2</v>
      </c>
      <c r="M5" s="3">
        <f>M4+[1]BD!$B$6*[1]Simulator!$B$16+[1]BD!$B$7*[1]Simulator!$B$16+[1]BD!$B$8*[1]Simulator!$B$16</f>
        <v>2555</v>
      </c>
      <c r="N5" s="3">
        <f>[1]Simulator!$B$47+N4</f>
        <v>3294.96</v>
      </c>
      <c r="O5" s="3">
        <f>O4+[1]BD!$B$6*[1]Simulator!$B$16+[1]BD!$B$7*[1]Simulator!$B$16</f>
        <v>2070</v>
      </c>
      <c r="P5" s="3">
        <f>P4+[1]Simulator!$B$52</f>
        <v>3294.96</v>
      </c>
    </row>
    <row r="6" spans="1:16">
      <c r="A6" s="1" t="s">
        <v>8</v>
      </c>
      <c r="B6" s="9">
        <v>35</v>
      </c>
      <c r="C6" s="5"/>
      <c r="L6" s="2">
        <v>3</v>
      </c>
      <c r="M6" s="3">
        <f>M5+[1]BD!$B$6*[1]Simulator!$B$16+[1]BD!$B$7*[1]Simulator!$B$16+[1]BD!$B$8*[1]Simulator!$B$16</f>
        <v>2840</v>
      </c>
      <c r="N6" s="3">
        <f>[1]Simulator!$B$47+N5</f>
        <v>4942.4400000000005</v>
      </c>
      <c r="O6" s="3">
        <f>O5+[1]BD!$B$6*[1]Simulator!$B$16+[1]BD!$B$7*[1]Simulator!$B$16</f>
        <v>2205</v>
      </c>
      <c r="P6" s="3">
        <f>P5+[1]Simulator!$B$52</f>
        <v>4942.4400000000005</v>
      </c>
    </row>
    <row r="7" spans="1:16">
      <c r="A7" s="108" t="s">
        <v>111</v>
      </c>
      <c r="B7" s="9">
        <v>100</v>
      </c>
      <c r="C7" s="5"/>
      <c r="L7" s="2">
        <v>4</v>
      </c>
      <c r="M7" s="3">
        <f>M6+[1]BD!$B$6*[1]Simulator!$B$16+[1]BD!$B$7*[1]Simulator!$B$16+[1]BD!$B$8*[1]Simulator!$B$16</f>
        <v>3125</v>
      </c>
      <c r="N7" s="3">
        <f>[1]Simulator!$B$47+N6</f>
        <v>6589.92</v>
      </c>
      <c r="O7" s="3">
        <f>O6+[1]BD!$B$6*[1]Simulator!$B$16+[1]BD!$B$7*[1]Simulator!$B$16</f>
        <v>2340</v>
      </c>
      <c r="P7" s="3">
        <f>P6+[1]Simulator!$B$52</f>
        <v>6589.92</v>
      </c>
    </row>
    <row r="8" spans="1:16">
      <c r="A8" s="108" t="s">
        <v>100</v>
      </c>
      <c r="B8" s="9">
        <v>150</v>
      </c>
      <c r="C8" s="7"/>
      <c r="L8" s="2">
        <v>5</v>
      </c>
      <c r="M8" s="3">
        <f>M7+[1]BD!$B$6*[1]Simulator!$B$16+[1]BD!$B$7*[1]Simulator!$B$16+[1]BD!$B$8*[1]Simulator!$B$16</f>
        <v>3410</v>
      </c>
      <c r="N8" s="3">
        <f>[1]Simulator!$B$47+N7</f>
        <v>8237.4</v>
      </c>
      <c r="O8" s="3">
        <f>O7+[1]BD!$B$6*[1]Simulator!$B$16+[1]BD!$B$7*[1]Simulator!$B$16</f>
        <v>2475</v>
      </c>
      <c r="P8" s="3">
        <f>P7+[1]Simulator!$B$52</f>
        <v>8237.4</v>
      </c>
    </row>
    <row r="9" spans="1:16">
      <c r="A9" s="1" t="s">
        <v>9</v>
      </c>
      <c r="B9" s="10">
        <v>1.7</v>
      </c>
      <c r="L9" s="2">
        <v>6</v>
      </c>
      <c r="M9" s="3">
        <f>M8+[1]BD!$B$6*[1]Simulator!$B$16+[1]BD!$B$7*[1]Simulator!$B$16+[1]BD!$B$8*[1]Simulator!$B$16</f>
        <v>3695</v>
      </c>
      <c r="N9" s="3">
        <f>[1]Simulator!$B$47+N8</f>
        <v>9884.8799999999992</v>
      </c>
      <c r="O9" s="3">
        <f>O8+[1]BD!$B$6*[1]Simulator!$B$16+[1]BD!$B$7*[1]Simulator!$B$16</f>
        <v>2610</v>
      </c>
      <c r="P9" s="3">
        <f>P8+[1]Simulator!$B$52</f>
        <v>9884.8799999999992</v>
      </c>
    </row>
    <row r="10" spans="1:16">
      <c r="A10" s="1" t="s">
        <v>10</v>
      </c>
      <c r="B10" s="11">
        <v>0.03</v>
      </c>
      <c r="C10" s="12"/>
      <c r="D10" s="13">
        <v>0.2</v>
      </c>
      <c r="L10" s="2">
        <v>7</v>
      </c>
      <c r="M10" s="3">
        <f>M9+[1]BD!$B$6*[1]Simulator!$B$16+[1]BD!$B$7*[1]Simulator!$B$16+[1]BD!$B$8*[1]Simulator!$B$16</f>
        <v>3980</v>
      </c>
      <c r="N10" s="3">
        <f>[1]Simulator!$B$47+N9</f>
        <v>11532.359999999999</v>
      </c>
      <c r="O10" s="3">
        <f>O9+[1]BD!$B$6*[1]Simulator!$B$16+[1]BD!$B$7*[1]Simulator!$B$16</f>
        <v>2745</v>
      </c>
      <c r="P10" s="3">
        <f>P9+[1]Simulator!$B$52</f>
        <v>11532.359999999999</v>
      </c>
    </row>
    <row r="11" spans="1:16">
      <c r="A11" s="1" t="s">
        <v>11</v>
      </c>
      <c r="B11" s="14">
        <v>0.2</v>
      </c>
      <c r="D11" s="1" t="s">
        <v>12</v>
      </c>
      <c r="L11" s="2">
        <v>8</v>
      </c>
      <c r="M11" s="3">
        <f>M10+[1]BD!$B$6*[1]Simulator!$B$16+[1]BD!$B$7*[1]Simulator!$B$16+[1]BD!$B$8*[1]Simulator!$B$16</f>
        <v>4265</v>
      </c>
      <c r="N11" s="3">
        <f>[1]Simulator!$B$47+N10</f>
        <v>13179.839999999998</v>
      </c>
      <c r="O11" s="3">
        <f>O10+[1]BD!$B$6*[1]Simulator!$B$16+[1]BD!$B$7*[1]Simulator!$B$16</f>
        <v>2880</v>
      </c>
      <c r="P11" s="3">
        <f>P10+[1]Simulator!$B$52</f>
        <v>13179.839999999998</v>
      </c>
    </row>
    <row r="12" spans="1:16">
      <c r="A12" s="1" t="s">
        <v>116</v>
      </c>
      <c r="B12" s="118">
        <v>0.05</v>
      </c>
      <c r="L12" s="2">
        <v>9</v>
      </c>
      <c r="M12" s="3">
        <f>M11+[1]BD!$B$6*[1]Simulator!$B$16+[1]BD!$B$7*[1]Simulator!$B$16+[1]BD!$B$8*[1]Simulator!$B$16</f>
        <v>4550</v>
      </c>
      <c r="N12" s="3">
        <f>[1]Simulator!$B$47+N11</f>
        <v>14827.319999999998</v>
      </c>
      <c r="O12" s="3">
        <f>O11+[1]BD!$B$6*[1]Simulator!$B$16+[1]BD!$B$7*[1]Simulator!$B$16</f>
        <v>3015</v>
      </c>
      <c r="P12" s="3">
        <f>P11+[1]Simulator!$B$52</f>
        <v>14827.319999999998</v>
      </c>
    </row>
    <row r="13" spans="1:16">
      <c r="A13" s="109" t="s">
        <v>93</v>
      </c>
      <c r="B13" s="15">
        <v>20</v>
      </c>
      <c r="L13" s="2">
        <v>10</v>
      </c>
      <c r="M13" s="3">
        <f>M12+[1]BD!$B$6*[1]Simulator!$B$16+[1]BD!$B$7*[1]Simulator!$B$16+[1]BD!$B$8*[1]Simulator!$B$16</f>
        <v>4835</v>
      </c>
      <c r="N13" s="3">
        <f>[1]Simulator!$B$47+N12</f>
        <v>16474.8</v>
      </c>
      <c r="O13" s="3">
        <f>O12+[1]BD!$B$6*[1]Simulator!$B$16+[1]BD!$B$7*[1]Simulator!$B$16</f>
        <v>3150</v>
      </c>
      <c r="P13" s="3">
        <f>P12+[1]Simulator!$B$52</f>
        <v>16474.8</v>
      </c>
    </row>
    <row r="14" spans="1:16">
      <c r="A14" s="1" t="s">
        <v>117</v>
      </c>
      <c r="B14" s="119">
        <v>0.4</v>
      </c>
      <c r="C14" s="1" t="s">
        <v>118</v>
      </c>
      <c r="D14" s="1">
        <v>0</v>
      </c>
      <c r="L14" s="2"/>
      <c r="M14" s="3"/>
      <c r="N14" s="3">
        <f>N13-M13</f>
        <v>11639.8</v>
      </c>
      <c r="O14" s="3"/>
      <c r="P14" s="3">
        <f>P13-M13</f>
        <v>11639.8</v>
      </c>
    </row>
    <row r="15" spans="1:16">
      <c r="B15" s="1" t="s">
        <v>13</v>
      </c>
    </row>
    <row r="16" spans="1:16">
      <c r="A16" s="1" t="s">
        <v>14</v>
      </c>
      <c r="B16" s="1">
        <v>15</v>
      </c>
    </row>
    <row r="17" spans="1:7">
      <c r="A17" s="1" t="s">
        <v>15</v>
      </c>
      <c r="B17" s="1">
        <v>4</v>
      </c>
    </row>
    <row r="18" spans="1:7">
      <c r="A18" s="1" t="s">
        <v>16</v>
      </c>
      <c r="B18" s="1">
        <v>2.5</v>
      </c>
    </row>
    <row r="19" spans="1:7">
      <c r="A19" s="1" t="s">
        <v>17</v>
      </c>
      <c r="B19" s="1">
        <v>12</v>
      </c>
    </row>
    <row r="20" spans="1:7">
      <c r="A20" s="108" t="s">
        <v>101</v>
      </c>
      <c r="B20" s="1" t="s">
        <v>18</v>
      </c>
    </row>
    <row r="22" spans="1:7">
      <c r="B22" s="108" t="s">
        <v>103</v>
      </c>
      <c r="C22" s="108" t="s">
        <v>102</v>
      </c>
      <c r="D22" s="108" t="s">
        <v>94</v>
      </c>
      <c r="E22" s="108" t="s">
        <v>95</v>
      </c>
      <c r="F22" s="108" t="s">
        <v>19</v>
      </c>
    </row>
    <row r="23" spans="1:7">
      <c r="A23" s="1" t="s">
        <v>20</v>
      </c>
      <c r="B23" s="4">
        <v>16</v>
      </c>
      <c r="C23" s="4">
        <v>4</v>
      </c>
      <c r="D23" s="4">
        <f>B23*35</f>
        <v>560</v>
      </c>
      <c r="E23" s="4">
        <f>D23*30</f>
        <v>16800</v>
      </c>
      <c r="F23" s="7">
        <f>E23/1000*B9*0.8</f>
        <v>22.847999999999999</v>
      </c>
    </row>
    <row r="24" spans="1:7">
      <c r="A24" s="1" t="s">
        <v>21</v>
      </c>
      <c r="B24" s="4">
        <v>28</v>
      </c>
      <c r="C24" s="4">
        <v>12</v>
      </c>
      <c r="D24" s="4">
        <f>B24*35</f>
        <v>980</v>
      </c>
      <c r="E24" s="4">
        <f>D24*30</f>
        <v>29400</v>
      </c>
      <c r="F24" s="7">
        <f>E24/1000*B9*0.8</f>
        <v>39.984000000000002</v>
      </c>
    </row>
    <row r="25" spans="1:7">
      <c r="A25" s="1" t="s">
        <v>22</v>
      </c>
      <c r="B25" s="4">
        <v>45</v>
      </c>
      <c r="C25" s="4">
        <v>18</v>
      </c>
      <c r="D25" s="4">
        <f>B25*35</f>
        <v>1575</v>
      </c>
      <c r="E25" s="4">
        <f>D25*30</f>
        <v>47250</v>
      </c>
      <c r="F25" s="7">
        <f>E25/1000*B9*0.8</f>
        <v>64.260000000000005</v>
      </c>
      <c r="G25" s="7"/>
    </row>
    <row r="26" spans="1:7">
      <c r="F26" s="7"/>
    </row>
    <row r="28" spans="1:7">
      <c r="C28" s="1" t="s">
        <v>23</v>
      </c>
      <c r="D28" s="1" t="s">
        <v>24</v>
      </c>
    </row>
    <row r="29" spans="1:7">
      <c r="A29" s="1" t="s">
        <v>25</v>
      </c>
      <c r="B29" s="1" t="s">
        <v>26</v>
      </c>
      <c r="C29" s="5">
        <v>845</v>
      </c>
      <c r="D29" s="1">
        <v>4.5</v>
      </c>
    </row>
    <row r="30" spans="1:7">
      <c r="A30" s="1" t="s">
        <v>27</v>
      </c>
      <c r="B30" s="1" t="s">
        <v>28</v>
      </c>
      <c r="C30" s="5">
        <v>420</v>
      </c>
      <c r="D30" s="1">
        <v>3</v>
      </c>
    </row>
    <row r="31" spans="1:7">
      <c r="A31" s="1" t="s">
        <v>29</v>
      </c>
      <c r="B31" s="1" t="s">
        <v>30</v>
      </c>
    </row>
    <row r="32" spans="1:7">
      <c r="A32" s="1" t="s">
        <v>31</v>
      </c>
      <c r="B32" s="1" t="s">
        <v>32</v>
      </c>
    </row>
    <row r="33" spans="1:2">
      <c r="A33" s="1" t="s">
        <v>33</v>
      </c>
      <c r="B33" s="1" t="s">
        <v>34</v>
      </c>
    </row>
    <row r="34" spans="1:2">
      <c r="A34" s="1" t="s">
        <v>35</v>
      </c>
      <c r="B34" s="1" t="s">
        <v>36</v>
      </c>
    </row>
    <row r="36" spans="1:2">
      <c r="A36" s="1" t="s">
        <v>37</v>
      </c>
    </row>
    <row r="37" spans="1:2">
      <c r="A37" s="108" t="s">
        <v>101</v>
      </c>
    </row>
    <row r="38" spans="1:2">
      <c r="A38" s="1" t="s">
        <v>38</v>
      </c>
    </row>
    <row r="40" spans="1:2">
      <c r="A40" s="1" t="s">
        <v>39</v>
      </c>
    </row>
    <row r="41" spans="1:2">
      <c r="A41" s="1" t="s">
        <v>40</v>
      </c>
    </row>
  </sheetData>
  <dataValidations count="2">
    <dataValidation type="list" allowBlank="1" showInputMessage="1" showErrorMessage="1" sqref="B11" xr:uid="{00000000-0002-0000-0000-000000000000}">
      <formula1>$D$10:$D$11</formula1>
    </dataValidation>
    <dataValidation allowBlank="1" showInputMessage="1" showErrorMessage="1" sqref="B12:B13" xr:uid="{00000000-0002-0000-0000-000001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tabSelected="1" topLeftCell="A37" zoomScale="85" zoomScaleNormal="85" workbookViewId="0">
      <selection activeCell="B56" sqref="B56"/>
    </sheetView>
  </sheetViews>
  <sheetFormatPr defaultColWidth="11" defaultRowHeight="14"/>
  <cols>
    <col min="1" max="1" width="47.33203125" style="1" bestFit="1" customWidth="1"/>
    <col min="2" max="2" width="13.75" style="2" customWidth="1"/>
    <col min="3" max="3" width="7.75" style="1" bestFit="1" customWidth="1"/>
    <col min="4" max="4" width="14.4140625" style="1" bestFit="1" customWidth="1"/>
    <col min="5" max="5" width="7.75" style="1" bestFit="1" customWidth="1"/>
    <col min="6" max="6" width="13.9140625" style="1" customWidth="1"/>
    <col min="7" max="7" width="12.4140625" style="1" customWidth="1"/>
    <col min="8" max="8" width="11" style="1"/>
    <col min="9" max="9" width="4.25" style="1" customWidth="1"/>
    <col min="10" max="16384" width="11" style="1"/>
  </cols>
  <sheetData>
    <row r="1" spans="1:13" ht="8.5" customHeight="1">
      <c r="A1" s="120"/>
      <c r="B1" s="121"/>
      <c r="C1" s="121"/>
      <c r="D1" s="121"/>
      <c r="E1" s="121"/>
      <c r="F1" s="122"/>
    </row>
    <row r="2" spans="1:13" ht="29.5">
      <c r="A2" s="123" t="s">
        <v>41</v>
      </c>
      <c r="B2" s="124"/>
      <c r="C2" s="124"/>
      <c r="D2" s="124"/>
      <c r="E2" s="124"/>
      <c r="F2" s="125"/>
    </row>
    <row r="3" spans="1:13" ht="16.5">
      <c r="A3" s="111" t="s">
        <v>42</v>
      </c>
      <c r="B3" s="131" t="s">
        <v>114</v>
      </c>
      <c r="C3" s="131"/>
      <c r="D3" s="131"/>
      <c r="E3" s="131"/>
      <c r="F3" s="131"/>
    </row>
    <row r="4" spans="1:13" ht="16.5">
      <c r="A4" s="112" t="s">
        <v>43</v>
      </c>
      <c r="B4" s="148" t="s">
        <v>119</v>
      </c>
      <c r="C4" s="148"/>
      <c r="D4" s="148"/>
      <c r="E4" s="148"/>
      <c r="F4" s="148"/>
    </row>
    <row r="5" spans="1:13" ht="16.5">
      <c r="A5" s="113" t="s">
        <v>97</v>
      </c>
      <c r="B5" s="148">
        <v>3339812</v>
      </c>
      <c r="C5" s="148"/>
      <c r="D5" s="148"/>
      <c r="E5" s="148"/>
      <c r="F5" s="148"/>
      <c r="G5" s="2"/>
    </row>
    <row r="6" spans="1:13" ht="16.5">
      <c r="A6" s="113" t="s">
        <v>44</v>
      </c>
      <c r="B6" s="148" t="s">
        <v>120</v>
      </c>
      <c r="C6" s="148"/>
      <c r="D6" s="148"/>
      <c r="E6" s="148"/>
      <c r="F6" s="148"/>
    </row>
    <row r="7" spans="1:13" ht="16.5">
      <c r="A7" s="113" t="s">
        <v>98</v>
      </c>
      <c r="B7" s="149" t="s">
        <v>121</v>
      </c>
      <c r="C7" s="150"/>
      <c r="D7" s="150"/>
      <c r="E7" s="150"/>
      <c r="F7" s="150"/>
    </row>
    <row r="8" spans="1:13" ht="16.5" customHeight="1">
      <c r="A8" s="151" t="s">
        <v>45</v>
      </c>
      <c r="B8" s="132" t="s">
        <v>37</v>
      </c>
      <c r="C8" s="133"/>
      <c r="D8" s="133"/>
      <c r="E8" s="133"/>
      <c r="F8" s="134"/>
      <c r="L8" s="152"/>
    </row>
    <row r="9" spans="1:13" ht="16.5" customHeight="1">
      <c r="A9" s="162" t="s">
        <v>46</v>
      </c>
      <c r="B9" s="132"/>
      <c r="C9" s="133"/>
      <c r="D9" s="133"/>
      <c r="E9" s="133"/>
      <c r="F9" s="134"/>
    </row>
    <row r="10" spans="1:13" ht="16.5" customHeight="1">
      <c r="A10" s="162"/>
      <c r="B10" s="132"/>
      <c r="C10" s="133"/>
      <c r="D10" s="133"/>
      <c r="E10" s="133"/>
      <c r="F10" s="134"/>
    </row>
    <row r="11" spans="1:13" ht="14" customHeight="1">
      <c r="A11" s="163"/>
      <c r="B11" s="135"/>
      <c r="C11" s="136"/>
      <c r="D11" s="136"/>
      <c r="E11" s="136"/>
      <c r="F11" s="137"/>
    </row>
    <row r="12" spans="1:13" ht="29.15" customHeight="1">
      <c r="A12" s="19" t="str">
        <f>IF(B8="estiércol de animales","¿Qué tipo de animales tienes?","")</f>
        <v>¿Qué tipo de animales tienes?</v>
      </c>
      <c r="B12" s="20" t="s">
        <v>14</v>
      </c>
      <c r="C12" s="20" t="s">
        <v>15</v>
      </c>
      <c r="D12" s="20" t="s">
        <v>16</v>
      </c>
      <c r="E12" s="20" t="s">
        <v>17</v>
      </c>
      <c r="F12" s="21" t="s">
        <v>47</v>
      </c>
      <c r="I12"/>
      <c r="J12"/>
      <c r="K12"/>
      <c r="L12"/>
      <c r="M12"/>
    </row>
    <row r="13" spans="1:13" ht="16.5">
      <c r="A13" s="17" t="str">
        <f>IF(B8=BD!A36,"¿Cuántos tienes?","")</f>
        <v>¿Cuántos tienes?</v>
      </c>
      <c r="B13" s="22">
        <v>0</v>
      </c>
      <c r="C13" s="22">
        <v>8</v>
      </c>
      <c r="D13" s="22">
        <v>0</v>
      </c>
      <c r="E13" s="22">
        <v>0</v>
      </c>
      <c r="F13" s="23">
        <f>IF(B13+C13+D13+E13=0,"",SUM(B13:E13))</f>
        <v>8</v>
      </c>
      <c r="I13"/>
      <c r="J13"/>
      <c r="K13"/>
      <c r="L13"/>
      <c r="M13"/>
    </row>
    <row r="14" spans="1:13" ht="16.5">
      <c r="A14" s="17" t="str">
        <f>IF(B8=BD!A36,"Cantidad de estiércol generada al día","¿Cuantos kg de desperdicio orgánico generas al día?")</f>
        <v>Cantidad de estiércol generada al día</v>
      </c>
      <c r="B14" s="24">
        <f>VLOOKUP(B12,BD!A16:B19,2,FALSE)*B13</f>
        <v>0</v>
      </c>
      <c r="C14" s="25">
        <f>VLOOKUP(C12,BD!A16:B19,2,FALSE)*C13</f>
        <v>32</v>
      </c>
      <c r="D14" s="25">
        <f>VLOOKUP(D12,BD!A16:B19,2,FALSE)*D13</f>
        <v>0</v>
      </c>
      <c r="E14" s="25">
        <f>VLOOKUP(E12,BD!A16:B19,2,FALSE)*E13</f>
        <v>0</v>
      </c>
      <c r="F14" s="23">
        <f>IF(B14+C14+D14+E14=0,"",SUM(B14:E14))</f>
        <v>32</v>
      </c>
      <c r="I14"/>
      <c r="J14"/>
      <c r="K14"/>
      <c r="L14"/>
      <c r="M14"/>
    </row>
    <row r="15" spans="1:13" ht="19.5">
      <c r="A15" s="17" t="s">
        <v>48</v>
      </c>
      <c r="B15" s="127" t="str">
        <f>IF(B8=BD!A36,IF(F14&gt;BD!B23,BD!A25,BD!A23),IF(F14&gt;BD!C23,BD!A25,BD!A23))</f>
        <v xml:space="preserve">Homebiogas 7.0 </v>
      </c>
      <c r="C15" s="127"/>
      <c r="D15" s="127"/>
      <c r="E15" s="127"/>
      <c r="F15" s="128"/>
      <c r="I15"/>
      <c r="J15"/>
      <c r="K15"/>
      <c r="L15"/>
      <c r="M15"/>
    </row>
    <row r="16" spans="1:13" ht="18">
      <c r="A16" s="17" t="s">
        <v>49</v>
      </c>
      <c r="B16" s="129">
        <f>IF(B8=BD!A36,IF(Simulador!B15=BD!A25,ROUNDUP(Simulador!F14/BD!B25,0),1),IF(Simulador!B15=BD!A25,ROUNDUP(Simulador!F14/BD!C25,0),1))</f>
        <v>1</v>
      </c>
      <c r="C16" s="129"/>
      <c r="D16" s="129"/>
      <c r="E16" s="129"/>
      <c r="F16" s="130"/>
      <c r="I16"/>
      <c r="J16"/>
      <c r="K16"/>
      <c r="L16"/>
      <c r="M16"/>
    </row>
    <row r="17" spans="1:14" ht="15.65" customHeight="1">
      <c r="A17" s="153" t="s">
        <v>50</v>
      </c>
      <c r="B17" s="155"/>
      <c r="C17" s="156"/>
      <c r="D17" s="156"/>
      <c r="E17" s="156"/>
      <c r="F17" s="157"/>
      <c r="I17"/>
      <c r="J17"/>
      <c r="K17"/>
      <c r="L17"/>
      <c r="M17"/>
    </row>
    <row r="18" spans="1:14" ht="15.65" customHeight="1">
      <c r="A18" s="154"/>
      <c r="B18" s="158"/>
      <c r="C18" s="159"/>
      <c r="D18" s="159"/>
      <c r="E18" s="159"/>
      <c r="F18" s="160"/>
      <c r="I18"/>
      <c r="J18"/>
      <c r="K18"/>
      <c r="L18"/>
      <c r="M18"/>
    </row>
    <row r="19" spans="1:14" ht="16.5">
      <c r="A19" s="17" t="s">
        <v>51</v>
      </c>
      <c r="B19" s="26" t="s">
        <v>25</v>
      </c>
      <c r="C19" s="27" t="s">
        <v>31</v>
      </c>
      <c r="D19" s="27" t="s">
        <v>29</v>
      </c>
      <c r="E19" s="27" t="s">
        <v>33</v>
      </c>
      <c r="F19" s="28" t="s">
        <v>47</v>
      </c>
      <c r="I19"/>
      <c r="J19"/>
      <c r="K19"/>
      <c r="L19"/>
      <c r="M19"/>
    </row>
    <row r="20" spans="1:14" ht="16.5">
      <c r="A20" s="110" t="s">
        <v>106</v>
      </c>
      <c r="B20" s="29">
        <v>0</v>
      </c>
      <c r="C20" s="30">
        <v>0</v>
      </c>
      <c r="D20" s="30">
        <v>0</v>
      </c>
      <c r="E20" s="30">
        <v>2</v>
      </c>
      <c r="F20" s="31">
        <f>IF(B20+C20+D20+E20=0,0,SUM(A20:E20))</f>
        <v>2</v>
      </c>
      <c r="I20"/>
      <c r="J20"/>
      <c r="K20"/>
      <c r="L20"/>
      <c r="M20"/>
    </row>
    <row r="21" spans="1:14" ht="16.5">
      <c r="A21" s="110" t="s">
        <v>112</v>
      </c>
      <c r="B21" s="32">
        <v>1000</v>
      </c>
      <c r="C21" s="33">
        <v>0</v>
      </c>
      <c r="D21" s="33">
        <v>0</v>
      </c>
      <c r="E21" s="33">
        <v>3000</v>
      </c>
      <c r="F21" s="34">
        <f>IF(B21+C21+D21+E21=0,0,SUM(B21:E21)/COUNTIF(B21:E21,"&gt;0"))</f>
        <v>2000</v>
      </c>
      <c r="I21"/>
      <c r="J21"/>
      <c r="K21"/>
      <c r="L21"/>
      <c r="M21"/>
    </row>
    <row r="22" spans="1:14" ht="16.5">
      <c r="A22" s="110" t="s">
        <v>113</v>
      </c>
      <c r="B22" s="32">
        <v>500</v>
      </c>
      <c r="C22" s="33">
        <v>0</v>
      </c>
      <c r="D22" s="33">
        <v>0</v>
      </c>
      <c r="E22" s="33">
        <v>250</v>
      </c>
      <c r="F22" s="34">
        <f>IF(B22+C22+D22+E22=0,0,SUM(B22:E22)/COUNTIF(B22:E22,"&gt;0"))</f>
        <v>375</v>
      </c>
      <c r="I22"/>
      <c r="J22"/>
      <c r="K22"/>
      <c r="L22"/>
      <c r="M22"/>
    </row>
    <row r="23" spans="1:14" ht="16.5">
      <c r="A23" s="110" t="s">
        <v>52</v>
      </c>
      <c r="B23" s="35">
        <f>B21*B20+(B22*B20)</f>
        <v>0</v>
      </c>
      <c r="C23" s="36">
        <f>C21*C20+(C22*C20)</f>
        <v>0</v>
      </c>
      <c r="D23" s="36">
        <f>D21*D20+(D22*D20)</f>
        <v>0</v>
      </c>
      <c r="E23" s="36">
        <f>E21*E20+(E22*E20)</f>
        <v>6500</v>
      </c>
      <c r="F23" s="34">
        <f>SUM(B23:E23)</f>
        <v>6500</v>
      </c>
      <c r="G23" s="5"/>
      <c r="I23"/>
      <c r="J23"/>
      <c r="K23"/>
      <c r="L23"/>
      <c r="M23"/>
    </row>
    <row r="24" spans="1:14" ht="16.5">
      <c r="A24" s="110" t="s">
        <v>99</v>
      </c>
      <c r="B24" s="37">
        <v>0</v>
      </c>
      <c r="C24" s="38">
        <v>0</v>
      </c>
      <c r="D24" s="38">
        <v>0</v>
      </c>
      <c r="E24" s="38">
        <v>0</v>
      </c>
      <c r="F24" s="28" t="s">
        <v>47</v>
      </c>
      <c r="G24" s="5"/>
      <c r="I24"/>
      <c r="J24"/>
      <c r="K24"/>
      <c r="L24"/>
      <c r="M24"/>
      <c r="N24" s="5"/>
    </row>
    <row r="25" spans="1:14" ht="16.5">
      <c r="A25" s="17" t="s">
        <v>53</v>
      </c>
      <c r="B25" s="39">
        <f>B24*B20</f>
        <v>0</v>
      </c>
      <c r="C25" s="40">
        <f>C24*C20</f>
        <v>0</v>
      </c>
      <c r="D25" s="40">
        <f>D24*D20</f>
        <v>0</v>
      </c>
      <c r="E25" s="40">
        <f>E24*E20</f>
        <v>0</v>
      </c>
      <c r="F25" s="41">
        <f>SUM(B25:E25)</f>
        <v>0</v>
      </c>
    </row>
    <row r="26" spans="1:14" ht="16.5">
      <c r="A26" s="17" t="s">
        <v>54</v>
      </c>
      <c r="B26" s="42">
        <v>300</v>
      </c>
      <c r="C26" s="43"/>
      <c r="D26" s="43"/>
      <c r="E26" s="43"/>
      <c r="F26" s="44"/>
    </row>
    <row r="27" spans="1:14" ht="16.5">
      <c r="A27" s="161" t="s">
        <v>55</v>
      </c>
      <c r="B27" s="45">
        <f>B25*B26+C25*C26+D25*D26+E25*E26</f>
        <v>0</v>
      </c>
      <c r="C27" s="46"/>
      <c r="D27" s="47"/>
      <c r="E27" s="47"/>
      <c r="F27" s="18"/>
      <c r="G27" s="5"/>
    </row>
    <row r="28" spans="1:14" ht="16.5">
      <c r="A28" s="126" t="s">
        <v>56</v>
      </c>
      <c r="B28" s="48"/>
      <c r="C28" s="46"/>
      <c r="D28" s="47"/>
      <c r="E28" s="47"/>
      <c r="F28" s="18"/>
      <c r="G28" s="5"/>
    </row>
    <row r="29" spans="1:14" ht="16.5">
      <c r="A29" s="126"/>
      <c r="B29" s="48"/>
      <c r="C29" s="46"/>
      <c r="D29" s="47"/>
      <c r="E29" s="47"/>
      <c r="F29" s="18"/>
      <c r="G29" s="5"/>
    </row>
    <row r="30" spans="1:14" ht="16" customHeight="1">
      <c r="A30" s="17" t="s">
        <v>57</v>
      </c>
      <c r="B30" s="42">
        <v>400</v>
      </c>
      <c r="C30" s="46"/>
      <c r="D30" s="47"/>
      <c r="E30" s="47"/>
      <c r="F30" s="18"/>
      <c r="I30" s="4"/>
      <c r="J30" s="4"/>
      <c r="K30" s="4"/>
      <c r="L30" s="4"/>
    </row>
    <row r="31" spans="1:14" ht="15.65" customHeight="1">
      <c r="A31" s="49" t="s">
        <v>58</v>
      </c>
      <c r="B31" s="45">
        <f>IF(B15=BD!A25,BD!B3*B16,BD!B5*B16)</f>
        <v>1700</v>
      </c>
      <c r="C31" s="47"/>
      <c r="D31" s="47"/>
      <c r="E31" s="47"/>
      <c r="F31" s="18"/>
    </row>
    <row r="32" spans="1:14" ht="15.65" customHeight="1">
      <c r="A32" s="49" t="s">
        <v>59</v>
      </c>
      <c r="B32" s="45" t="s">
        <v>1</v>
      </c>
      <c r="C32" s="47"/>
      <c r="D32" s="47"/>
      <c r="E32" s="47"/>
      <c r="F32" s="18"/>
      <c r="J32" s="5"/>
      <c r="K32" s="5"/>
      <c r="L32" s="5"/>
    </row>
    <row r="33" spans="1:12" ht="15.65" customHeight="1">
      <c r="A33" s="50" t="s">
        <v>107</v>
      </c>
      <c r="B33" s="48">
        <f>IF(B32=BD!A1,0,(B31-BD!B6)*BD!B14)</f>
        <v>666</v>
      </c>
      <c r="C33" s="47"/>
      <c r="D33" s="47"/>
      <c r="E33" s="47"/>
      <c r="F33" s="18"/>
      <c r="J33" s="5"/>
      <c r="K33" s="5"/>
      <c r="L33" s="5"/>
    </row>
    <row r="34" spans="1:12" ht="15.65" customHeight="1">
      <c r="A34" s="50" t="str">
        <f>IF(B32="contado","","¿Puedes dar mas enganche? ¿Cuanto?")</f>
        <v>¿Puedes dar mas enganche? ¿Cuanto?</v>
      </c>
      <c r="B34" s="42"/>
      <c r="C34" s="47"/>
      <c r="D34" s="47"/>
      <c r="E34" s="47"/>
      <c r="F34" s="18"/>
    </row>
    <row r="35" spans="1:12" ht="15.65" customHeight="1">
      <c r="A35" s="50" t="s">
        <v>60</v>
      </c>
      <c r="B35" s="48">
        <f>IF(B34&gt;B33,B34,B33)</f>
        <v>666</v>
      </c>
      <c r="C35" s="47"/>
      <c r="D35" s="47"/>
      <c r="E35" s="47"/>
      <c r="F35" s="18"/>
    </row>
    <row r="36" spans="1:12" ht="15.65" customHeight="1">
      <c r="A36" s="50" t="s">
        <v>61</v>
      </c>
      <c r="B36" s="51">
        <v>6</v>
      </c>
      <c r="C36" s="47"/>
      <c r="D36" s="47"/>
      <c r="E36" s="47"/>
      <c r="F36" s="18"/>
    </row>
    <row r="37" spans="1:12" ht="15.65" customHeight="1">
      <c r="A37" s="50" t="s">
        <v>62</v>
      </c>
      <c r="B37" s="52" t="s">
        <v>39</v>
      </c>
      <c r="C37" s="47"/>
      <c r="D37" s="47"/>
      <c r="E37" s="47"/>
      <c r="F37" s="18"/>
    </row>
    <row r="38" spans="1:12" ht="13.5" customHeight="1">
      <c r="A38" s="50" t="s">
        <v>63</v>
      </c>
      <c r="B38" s="48">
        <f>IF(B32=BD!A1,"0",((B31-B35)+(B31-B35)*BD!D14*(B36/12))/B36)</f>
        <v>172.33333333333334</v>
      </c>
      <c r="C38" s="47"/>
      <c r="D38" s="47"/>
      <c r="E38" s="47"/>
      <c r="F38" s="18"/>
      <c r="G38" s="5"/>
      <c r="H38" s="5"/>
    </row>
    <row r="39" spans="1:12" ht="13.5" customHeight="1" thickBot="1">
      <c r="A39" s="50" t="s">
        <v>64</v>
      </c>
      <c r="B39" s="48">
        <f>B38*3</f>
        <v>517</v>
      </c>
      <c r="C39" s="47"/>
      <c r="D39" s="47"/>
      <c r="E39" s="47"/>
      <c r="F39" s="18"/>
      <c r="G39" s="5"/>
      <c r="H39" s="5"/>
    </row>
    <row r="40" spans="1:12" ht="14.15" customHeight="1">
      <c r="A40" s="138" t="s">
        <v>65</v>
      </c>
      <c r="B40" s="104"/>
      <c r="C40" s="55"/>
      <c r="D40" s="56"/>
      <c r="E40" s="56"/>
      <c r="F40" s="57"/>
    </row>
    <row r="41" spans="1:12" ht="14.15" customHeight="1">
      <c r="A41" s="126"/>
      <c r="B41" s="106"/>
      <c r="C41" s="46"/>
      <c r="D41" s="47"/>
      <c r="E41" s="47"/>
      <c r="F41" s="18"/>
    </row>
    <row r="42" spans="1:12" ht="16.5">
      <c r="A42" s="105" t="s">
        <v>66</v>
      </c>
      <c r="B42" s="58">
        <f>(IF(B12=BD!A20,100*IF(B8=BD!A38,MIN(10,B14),B14),35*B14)+IF(C12=BD!A20,100*IF(B8=BD!A38,MIN(10,C14),C14),35*C14)+IF(D12=BD!A20,100*IF(B8=BD!A38,MIN(10,D14),D14),35*D14)+IF(E12=BD!A20,100*IF(B8=BD!A38,MIN(10,E14),E14),35*E14))/2000*BD!B9*365</f>
        <v>347.48</v>
      </c>
      <c r="C42" s="46"/>
      <c r="D42" s="47"/>
      <c r="E42" s="47"/>
      <c r="F42" s="18"/>
    </row>
    <row r="43" spans="1:12" ht="16.5">
      <c r="A43" s="50" t="s">
        <v>67</v>
      </c>
      <c r="B43" s="59">
        <f>IF(F20="",0,F20/4*135*330)</f>
        <v>22275</v>
      </c>
      <c r="C43" s="47"/>
      <c r="D43" s="47"/>
      <c r="E43" s="47"/>
      <c r="F43" s="18"/>
    </row>
    <row r="44" spans="1:12" ht="16.5">
      <c r="A44" s="50" t="s">
        <v>108</v>
      </c>
      <c r="B44" s="59">
        <f>(B14*3+C14*4+D14*3+E14*3)*330</f>
        <v>42240</v>
      </c>
      <c r="C44" s="46"/>
      <c r="D44" s="60"/>
      <c r="E44" s="61"/>
      <c r="F44" s="62"/>
    </row>
    <row r="45" spans="1:12" ht="16.5">
      <c r="A45" s="50" t="s">
        <v>109</v>
      </c>
      <c r="B45" s="63">
        <f>IF(BD!B11=20%,IF(B44&gt;0.2*B43,F23*0.2,B44/B43*F23),B44*BD!B10)</f>
        <v>1300</v>
      </c>
      <c r="C45" s="64"/>
      <c r="D45" s="60"/>
      <c r="E45" s="60"/>
      <c r="F45" s="65"/>
    </row>
    <row r="46" spans="1:12" ht="16.5">
      <c r="A46" s="50" t="s">
        <v>68</v>
      </c>
      <c r="B46" s="63">
        <f>IF(B44&gt;B43,B27*0.01,B44/B43*0.01*B27)</f>
        <v>0</v>
      </c>
      <c r="C46" s="64"/>
      <c r="D46" s="60"/>
      <c r="E46" s="60"/>
      <c r="F46" s="65"/>
    </row>
    <row r="47" spans="1:12" ht="16.5">
      <c r="A47" s="49" t="s">
        <v>69</v>
      </c>
      <c r="B47" s="66">
        <f>B42+B45+B46</f>
        <v>1647.48</v>
      </c>
      <c r="C47" s="67"/>
      <c r="D47" s="61"/>
      <c r="E47" s="47"/>
      <c r="F47" s="65"/>
    </row>
    <row r="48" spans="1:12" ht="16.5">
      <c r="A48" s="49" t="s">
        <v>70</v>
      </c>
      <c r="B48" s="66">
        <f>BD!B6*B16+BD!B7*B16+BD!B8*B16</f>
        <v>285</v>
      </c>
      <c r="C48" s="67"/>
      <c r="D48" s="60"/>
      <c r="E48" s="47"/>
      <c r="F48" s="18"/>
    </row>
    <row r="49" spans="1:6" ht="16.5">
      <c r="A49" s="114" t="s">
        <v>110</v>
      </c>
      <c r="B49" s="66">
        <f>BD!N13-BD!M12</f>
        <v>11924.8</v>
      </c>
      <c r="C49" s="64"/>
      <c r="D49" s="60"/>
      <c r="E49" s="47"/>
      <c r="F49" s="18"/>
    </row>
    <row r="50" spans="1:6" ht="16.5">
      <c r="A50" s="114" t="s">
        <v>71</v>
      </c>
      <c r="B50" s="68">
        <f>(B47-B48)/B31</f>
        <v>0.80145882352941178</v>
      </c>
      <c r="C50" s="67"/>
      <c r="D50" s="47"/>
      <c r="E50" s="47"/>
      <c r="F50" s="18"/>
    </row>
    <row r="51" spans="1:6" s="6" customFormat="1" ht="16.5">
      <c r="A51" s="115" t="s">
        <v>72</v>
      </c>
      <c r="B51" s="69">
        <f>B31/(B47-B48)</f>
        <v>1.2477247372438494</v>
      </c>
      <c r="C51" s="46"/>
      <c r="D51" s="70"/>
      <c r="E51" s="70"/>
      <c r="F51" s="71"/>
    </row>
    <row r="52" spans="1:6" ht="16.5">
      <c r="A52" s="114" t="s">
        <v>73</v>
      </c>
      <c r="B52" s="66">
        <f>B42+B45</f>
        <v>1647.48</v>
      </c>
      <c r="C52" s="47"/>
      <c r="D52" s="47"/>
      <c r="E52" s="47"/>
      <c r="F52" s="18"/>
    </row>
    <row r="53" spans="1:6" ht="16.5">
      <c r="A53" s="114" t="s">
        <v>74</v>
      </c>
      <c r="B53" s="66">
        <f>BD!B6*B16+BD!B7*B16</f>
        <v>135</v>
      </c>
      <c r="C53" s="47"/>
      <c r="D53" s="47"/>
      <c r="E53" s="47"/>
      <c r="F53" s="18"/>
    </row>
    <row r="54" spans="1:6" ht="16.5">
      <c r="A54" s="114" t="s">
        <v>110</v>
      </c>
      <c r="B54" s="66">
        <f>B52*10-B53*10-B31</f>
        <v>13424.8</v>
      </c>
      <c r="C54" s="61"/>
      <c r="D54" s="61"/>
      <c r="E54" s="61"/>
      <c r="F54" s="18"/>
    </row>
    <row r="55" spans="1:6" ht="16.5">
      <c r="A55" s="49" t="s">
        <v>71</v>
      </c>
      <c r="B55" s="68">
        <f>(B52-B53)/B31</f>
        <v>0.88969411764705886</v>
      </c>
      <c r="C55" s="47"/>
      <c r="D55" s="47"/>
      <c r="E55" s="47"/>
      <c r="F55" s="18"/>
    </row>
    <row r="56" spans="1:6" ht="16.5">
      <c r="A56" s="72" t="s">
        <v>72</v>
      </c>
      <c r="B56" s="73">
        <f>(B31/(B52-B53))</f>
        <v>1.123981804718079</v>
      </c>
      <c r="C56" s="53"/>
      <c r="D56" s="53"/>
      <c r="E56" s="53"/>
      <c r="F56" s="54"/>
    </row>
    <row r="57" spans="1:6">
      <c r="B57" s="3"/>
    </row>
    <row r="58" spans="1:6">
      <c r="B58" s="8"/>
    </row>
  </sheetData>
  <mergeCells count="15">
    <mergeCell ref="A40:A41"/>
    <mergeCell ref="B17:F18"/>
    <mergeCell ref="A1:F1"/>
    <mergeCell ref="A2:F2"/>
    <mergeCell ref="A17:A18"/>
    <mergeCell ref="A28:A29"/>
    <mergeCell ref="B15:F15"/>
    <mergeCell ref="B16:F16"/>
    <mergeCell ref="B3:F3"/>
    <mergeCell ref="B4:F4"/>
    <mergeCell ref="B5:F5"/>
    <mergeCell ref="B6:F6"/>
    <mergeCell ref="B7:F7"/>
    <mergeCell ref="B8:F11"/>
    <mergeCell ref="A9:A11"/>
  </mergeCells>
  <hyperlinks>
    <hyperlink ref="B7" r:id="rId1" xr:uid="{5336E273-DF5E-496A-A6CB-7F4506181362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promptTitle="Elige" prompt="Elige" xr:uid="{00000000-0002-0000-0100-000000000000}">
          <x14:formula1>
            <xm:f>BD!$A$16:$A$19</xm:f>
          </x14:formula1>
          <xm:sqref>H12</xm:sqref>
        </x14:dataValidation>
        <x14:dataValidation type="list" allowBlank="1" showInputMessage="1" showErrorMessage="1" xr:uid="{00000000-0002-0000-0100-000001000000}">
          <x14:formula1>
            <xm:f>BD!$A$36:$A$38</xm:f>
          </x14:formula1>
          <xm:sqref>B8</xm:sqref>
        </x14:dataValidation>
        <x14:dataValidation type="list" allowBlank="1" showInputMessage="1" showErrorMessage="1" prompt="Selecciona" xr:uid="{00000000-0002-0000-0100-000002000000}">
          <x14:formula1>
            <xm:f>BD!$A$29:$A$34</xm:f>
          </x14:formula1>
          <xm:sqref>B19:E19</xm:sqref>
        </x14:dataValidation>
        <x14:dataValidation type="list" allowBlank="1" showInputMessage="1" showErrorMessage="1" prompt="Tipo de Animal" xr:uid="{00000000-0002-0000-0100-000003000000}">
          <x14:formula1>
            <xm:f>BD!$A$16:$A$19</xm:f>
          </x14:formula1>
          <xm:sqref>C12</xm:sqref>
        </x14:dataValidation>
        <x14:dataValidation type="list" allowBlank="1" showInputMessage="1" showErrorMessage="1" prompt="Tipo de Animal" xr:uid="{00000000-0002-0000-0100-000004000000}">
          <x14:formula1>
            <xm:f>BD!$A$16:$A$20</xm:f>
          </x14:formula1>
          <xm:sqref>B12</xm:sqref>
        </x14:dataValidation>
        <x14:dataValidation type="list" allowBlank="1" showInputMessage="1" showErrorMessage="1" prompt="Tipo de Animal_x000a_" xr:uid="{00000000-0002-0000-0100-000005000000}">
          <x14:formula1>
            <xm:f>BD!$A$16:$A$19</xm:f>
          </x14:formula1>
          <xm:sqref>D12:E12</xm:sqref>
        </x14:dataValidation>
        <x14:dataValidation type="list" allowBlank="1" showInputMessage="1" showErrorMessage="1" xr:uid="{00000000-0002-0000-0100-000006000000}">
          <x14:formula1>
            <xm:f>BD!$A$40:$A$42</xm:f>
          </x14:formula1>
          <xm:sqref>B37</xm:sqref>
        </x14:dataValidation>
        <x14:dataValidation type="list" allowBlank="1" showInputMessage="1" showErrorMessage="1" xr:uid="{00000000-0002-0000-0100-000007000000}">
          <x14:formula1>
            <xm:f>BD!$A$1:$A$2</xm:f>
          </x14:formula1>
          <xm:sqref>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2"/>
  <sheetViews>
    <sheetView showGridLines="0" zoomScale="70" zoomScaleNormal="70" workbookViewId="0">
      <selection activeCell="K25" sqref="K25"/>
    </sheetView>
  </sheetViews>
  <sheetFormatPr defaultColWidth="0" defaultRowHeight="16.5"/>
  <cols>
    <col min="1" max="1" width="2" style="47" customWidth="1"/>
    <col min="2" max="2" width="23.6640625" style="47" customWidth="1"/>
    <col min="3" max="3" width="12.1640625" style="47" customWidth="1"/>
    <col min="4" max="4" width="13.4140625" style="47" customWidth="1"/>
    <col min="5" max="5" width="17.75" style="47" customWidth="1"/>
    <col min="6" max="6" width="11.75" style="47" customWidth="1"/>
    <col min="7" max="7" width="11.1640625" style="47" customWidth="1"/>
    <col min="8" max="8" width="12.75" style="47" customWidth="1"/>
    <col min="9" max="9" width="14.83203125" style="47" customWidth="1"/>
    <col min="10" max="10" width="13.4140625" style="47" customWidth="1"/>
    <col min="11" max="11" width="1.1640625" style="47" customWidth="1"/>
    <col min="12" max="12" width="9.1640625" style="47" hidden="1" customWidth="1"/>
    <col min="13" max="16384" width="9.1640625" style="47" hidden="1"/>
  </cols>
  <sheetData>
    <row r="1" spans="1:11" s="74" customFormat="1" ht="8.15" customHeight="1">
      <c r="B1" s="139"/>
      <c r="C1" s="139"/>
      <c r="D1" s="139"/>
      <c r="E1" s="139"/>
      <c r="H1" s="140">
        <f ca="1">TODAY()</f>
        <v>44825</v>
      </c>
      <c r="I1" s="140"/>
      <c r="J1" s="140"/>
      <c r="K1" s="140"/>
    </row>
    <row r="2" spans="1:11" s="74" customFormat="1">
      <c r="B2" s="139"/>
      <c r="C2" s="139"/>
      <c r="D2" s="139"/>
      <c r="E2" s="139"/>
      <c r="H2" s="140"/>
      <c r="I2" s="140"/>
      <c r="J2" s="140"/>
      <c r="K2" s="140"/>
    </row>
    <row r="3" spans="1:11" s="74" customFormat="1">
      <c r="B3" s="139"/>
      <c r="C3" s="139"/>
      <c r="D3" s="139"/>
      <c r="E3" s="139"/>
      <c r="H3" s="140"/>
      <c r="I3" s="140"/>
      <c r="J3" s="140"/>
      <c r="K3" s="140"/>
    </row>
    <row r="4" spans="1:11" s="74" customFormat="1" ht="8.15" customHeight="1"/>
    <row r="5" spans="1:11" s="74" customFormat="1" ht="20.5">
      <c r="B5" s="145" t="s">
        <v>75</v>
      </c>
      <c r="C5" s="145"/>
      <c r="D5" s="145"/>
      <c r="E5" s="145"/>
      <c r="F5" s="145"/>
    </row>
    <row r="6" spans="1:11" ht="20.5">
      <c r="A6" s="74"/>
      <c r="B6" s="75" t="s">
        <v>43</v>
      </c>
      <c r="C6" s="146" t="str">
        <f>Simulador!B3</f>
        <v>Respuestas</v>
      </c>
      <c r="D6" s="146"/>
      <c r="E6" s="146"/>
      <c r="K6" s="74"/>
    </row>
    <row r="7" spans="1:11" ht="20.5">
      <c r="A7" s="74"/>
      <c r="B7" s="107" t="s">
        <v>98</v>
      </c>
      <c r="C7" s="146" t="str">
        <f>Simulador!B7</f>
        <v>Angel_Tomato_Grower@gmail.com</v>
      </c>
      <c r="D7" s="146"/>
      <c r="E7" s="146"/>
      <c r="K7" s="74"/>
    </row>
    <row r="8" spans="1:11" ht="20.5">
      <c r="A8" s="74"/>
      <c r="B8" s="76" t="s">
        <v>76</v>
      </c>
      <c r="C8" s="146" t="str">
        <f>Simulador!B6</f>
        <v>Mexico City</v>
      </c>
      <c r="D8" s="146"/>
      <c r="E8" s="146"/>
      <c r="K8" s="74"/>
    </row>
    <row r="9" spans="1:11" ht="20.5">
      <c r="A9" s="74"/>
      <c r="B9" s="116" t="s">
        <v>104</v>
      </c>
      <c r="C9" s="147">
        <f>Simulador!B5</f>
        <v>3339812</v>
      </c>
      <c r="D9" s="147"/>
      <c r="K9" s="74"/>
    </row>
    <row r="10" spans="1:11" ht="9" customHeight="1">
      <c r="A10" s="74"/>
      <c r="K10" s="74"/>
    </row>
    <row r="11" spans="1:11" ht="24.65" customHeight="1">
      <c r="A11" s="74"/>
      <c r="B11" s="77" t="s">
        <v>77</v>
      </c>
      <c r="C11" s="77"/>
      <c r="D11" s="77"/>
      <c r="E11" s="78" t="s">
        <v>78</v>
      </c>
      <c r="F11" s="79">
        <f>IF(Simulador!B32="contado",Simulador!B31-BD!B6-BD!B7-BD!B8,E14+(G14*F14))</f>
        <v>1700</v>
      </c>
      <c r="G11" s="80"/>
      <c r="H11" s="78" t="s">
        <v>79</v>
      </c>
      <c r="I11" s="79">
        <f>J14</f>
        <v>11924.8</v>
      </c>
      <c r="K11" s="74"/>
    </row>
    <row r="12" spans="1:11" ht="4" customHeight="1">
      <c r="A12" s="74"/>
      <c r="B12" s="77"/>
      <c r="C12" s="77"/>
      <c r="D12" s="77"/>
      <c r="E12" s="78"/>
      <c r="F12" s="79"/>
      <c r="G12" s="80"/>
      <c r="H12" s="78"/>
      <c r="I12" s="79"/>
      <c r="K12" s="74"/>
    </row>
    <row r="13" spans="1:11" ht="36">
      <c r="A13" s="74"/>
      <c r="B13" s="81" t="s">
        <v>80</v>
      </c>
      <c r="C13" s="81" t="s">
        <v>81</v>
      </c>
      <c r="D13" s="81" t="s">
        <v>3</v>
      </c>
      <c r="E13" s="81" t="s">
        <v>82</v>
      </c>
      <c r="F13" s="81" t="s">
        <v>83</v>
      </c>
      <c r="G13" s="81" t="str">
        <f>IF(Simulador!B37="Mensual","Pagos Mensuales",IF(Simulador!B37="Trimestral","Pagos Trimestrales","Pagos Semestrales"))</f>
        <v>Pagos Mensuales</v>
      </c>
      <c r="H13" s="117" t="s">
        <v>96</v>
      </c>
      <c r="I13" s="82" t="s">
        <v>84</v>
      </c>
      <c r="J13" s="82" t="s">
        <v>85</v>
      </c>
      <c r="K13" s="74"/>
    </row>
    <row r="14" spans="1:11" ht="20" thickBot="1">
      <c r="A14" s="74"/>
      <c r="B14" s="83" t="str">
        <f>Simulador!B15</f>
        <v xml:space="preserve">Homebiogas 7.0 </v>
      </c>
      <c r="C14" s="83">
        <f>Simulador!B16</f>
        <v>1</v>
      </c>
      <c r="D14" s="84">
        <f>Simulador!B31</f>
        <v>1700</v>
      </c>
      <c r="E14" s="84">
        <f>Simulador!B35</f>
        <v>666</v>
      </c>
      <c r="F14" s="83">
        <f>Simulador!B36</f>
        <v>6</v>
      </c>
      <c r="G14" s="84">
        <f>IF(G13="Pagos Mensuales",Simulador!B38,IF(Reporte!G13="Pagos Trimestrales",Simulador!B39,Simulador!#REF!))</f>
        <v>172.33333333333334</v>
      </c>
      <c r="H14" s="84">
        <f>BD!B6+BD!B7+BD!B8</f>
        <v>285</v>
      </c>
      <c r="I14" s="85">
        <f>J14/10</f>
        <v>1192.48</v>
      </c>
      <c r="J14" s="85">
        <f>Simulador!B49</f>
        <v>11924.8</v>
      </c>
      <c r="K14" s="74"/>
    </row>
    <row r="15" spans="1:11" ht="18.5" customHeight="1" thickTop="1">
      <c r="A15" s="74"/>
      <c r="B15" s="86"/>
      <c r="C15" s="87"/>
      <c r="I15" s="164" t="s">
        <v>122</v>
      </c>
      <c r="J15" s="164">
        <f>D14+(H14*10)+BD!B7*Simulador!B16+BD!B8*Simulador!B16</f>
        <v>4800</v>
      </c>
      <c r="K15" s="74"/>
    </row>
    <row r="16" spans="1:11" ht="26.5" thickBot="1">
      <c r="A16" s="74"/>
      <c r="B16" s="88" t="s">
        <v>86</v>
      </c>
      <c r="C16" s="88"/>
      <c r="D16" s="88"/>
      <c r="E16" s="88"/>
      <c r="F16" s="88"/>
      <c r="G16" s="88"/>
      <c r="H16" s="89"/>
      <c r="I16" s="165"/>
      <c r="J16" s="165"/>
      <c r="K16" s="74"/>
    </row>
    <row r="17" spans="1:11" ht="17" thickTop="1">
      <c r="A17" s="74"/>
      <c r="K17" s="74"/>
    </row>
    <row r="18" spans="1:11">
      <c r="A18" s="74"/>
      <c r="K18" s="74"/>
    </row>
    <row r="19" spans="1:11">
      <c r="A19" s="74"/>
      <c r="K19" s="74"/>
    </row>
    <row r="20" spans="1:11">
      <c r="A20" s="74"/>
      <c r="K20" s="74"/>
    </row>
    <row r="21" spans="1:11">
      <c r="A21" s="74"/>
      <c r="K21" s="74"/>
    </row>
    <row r="22" spans="1:11">
      <c r="A22" s="74"/>
      <c r="K22" s="74"/>
    </row>
    <row r="23" spans="1:11">
      <c r="A23" s="74"/>
      <c r="K23" s="74"/>
    </row>
    <row r="24" spans="1:11">
      <c r="A24" s="74"/>
      <c r="K24" s="74"/>
    </row>
    <row r="25" spans="1:11">
      <c r="A25" s="74"/>
      <c r="K25" s="74"/>
    </row>
    <row r="26" spans="1:11">
      <c r="A26" s="74"/>
      <c r="K26" s="74"/>
    </row>
    <row r="27" spans="1:11" ht="21" customHeight="1">
      <c r="A27" s="74"/>
      <c r="K27" s="74"/>
    </row>
    <row r="28" spans="1:11">
      <c r="A28" s="74"/>
      <c r="K28" s="74"/>
    </row>
    <row r="29" spans="1:11" ht="40" customHeight="1">
      <c r="A29" s="74"/>
      <c r="D29" s="90" t="s">
        <v>87</v>
      </c>
      <c r="E29" s="90" t="s">
        <v>4</v>
      </c>
      <c r="G29" s="141"/>
      <c r="H29" s="141"/>
      <c r="I29" s="141"/>
      <c r="K29" s="74"/>
    </row>
    <row r="30" spans="1:11" ht="20.5">
      <c r="A30" s="74"/>
      <c r="B30" s="91" t="s">
        <v>88</v>
      </c>
      <c r="C30" s="91"/>
      <c r="D30" s="168">
        <f>Simulador!B56</f>
        <v>1.123981804718079</v>
      </c>
      <c r="E30" s="167">
        <f>Simulador!B51</f>
        <v>1.2477247372438494</v>
      </c>
      <c r="G30" s="142"/>
      <c r="H30" s="142"/>
      <c r="I30" s="92"/>
      <c r="K30" s="74"/>
    </row>
    <row r="31" spans="1:11" ht="20.5">
      <c r="A31" s="74"/>
      <c r="B31" s="91" t="s">
        <v>70</v>
      </c>
      <c r="C31" s="91"/>
      <c r="D31" s="169">
        <f>Simulador!B53</f>
        <v>135</v>
      </c>
      <c r="E31" s="166">
        <f>Simulador!B48</f>
        <v>285</v>
      </c>
      <c r="G31" s="142"/>
      <c r="H31" s="142"/>
      <c r="I31" s="92"/>
      <c r="K31" s="74"/>
    </row>
    <row r="32" spans="1:11" ht="20.5">
      <c r="A32" s="74"/>
      <c r="B32" s="116" t="s">
        <v>105</v>
      </c>
      <c r="C32" s="76"/>
      <c r="D32" s="169">
        <f>D33/10</f>
        <v>1342.48</v>
      </c>
      <c r="E32" s="166">
        <f>E33/10</f>
        <v>1192.48</v>
      </c>
      <c r="G32" s="143"/>
      <c r="H32" s="143"/>
      <c r="I32" s="94"/>
      <c r="K32" s="74"/>
    </row>
    <row r="33" spans="1:11" ht="20.5">
      <c r="A33" s="74"/>
      <c r="B33" s="76" t="s">
        <v>85</v>
      </c>
      <c r="C33" s="76"/>
      <c r="D33" s="169">
        <f>Simulador!B54</f>
        <v>13424.8</v>
      </c>
      <c r="E33" s="166">
        <f>J14</f>
        <v>11924.8</v>
      </c>
      <c r="I33" s="61"/>
      <c r="K33" s="74"/>
    </row>
    <row r="34" spans="1:11" ht="4" customHeight="1">
      <c r="A34" s="74"/>
      <c r="B34" s="76"/>
      <c r="C34" s="76"/>
      <c r="D34" s="95"/>
      <c r="E34" s="95"/>
      <c r="I34" s="61"/>
      <c r="K34" s="74"/>
    </row>
    <row r="35" spans="1:11" ht="3.6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</row>
    <row r="36" spans="1:11" ht="26">
      <c r="A36" s="74"/>
      <c r="B36" s="96" t="s">
        <v>89</v>
      </c>
      <c r="C36" s="89"/>
      <c r="D36" s="89"/>
      <c r="E36" s="89"/>
      <c r="F36" s="89"/>
      <c r="G36" s="89"/>
      <c r="H36" s="97"/>
      <c r="I36" s="89"/>
      <c r="J36" s="89"/>
      <c r="K36" s="74"/>
    </row>
    <row r="37" spans="1:11">
      <c r="A37" s="74"/>
      <c r="K37" s="74"/>
    </row>
    <row r="38" spans="1:11" ht="23.5" customHeight="1">
      <c r="A38" s="74"/>
      <c r="G38" s="144" t="s">
        <v>90</v>
      </c>
      <c r="H38" s="144"/>
      <c r="I38" s="144"/>
      <c r="J38" s="144"/>
      <c r="K38" s="74"/>
    </row>
    <row r="39" spans="1:11" ht="22.5" customHeight="1">
      <c r="A39" s="74"/>
      <c r="G39" s="144"/>
      <c r="H39" s="144"/>
      <c r="I39" s="144"/>
      <c r="J39" s="144"/>
      <c r="K39" s="74"/>
    </row>
    <row r="40" spans="1:11" ht="22">
      <c r="A40" s="74"/>
      <c r="G40" s="98" t="s">
        <v>123</v>
      </c>
      <c r="H40" s="99" t="s">
        <v>91</v>
      </c>
      <c r="I40" s="100" t="s">
        <v>92</v>
      </c>
      <c r="J40" s="101" t="s">
        <v>47</v>
      </c>
      <c r="K40" s="74"/>
    </row>
    <row r="41" spans="1:11" ht="20.5">
      <c r="A41" s="74"/>
      <c r="G41" s="93">
        <f>Simulador!B42*10</f>
        <v>3474.8</v>
      </c>
      <c r="H41" s="102">
        <f>Simulador!B45*10</f>
        <v>13000</v>
      </c>
      <c r="I41" s="103">
        <f>Simulador!B46*10</f>
        <v>0</v>
      </c>
      <c r="J41" s="95">
        <f>I41+H41+G41</f>
        <v>16474.8</v>
      </c>
      <c r="K41" s="74"/>
    </row>
    <row r="42" spans="1:11" ht="20.5">
      <c r="A42" s="74"/>
      <c r="G42" s="93">
        <f>G41/10</f>
        <v>347.48</v>
      </c>
      <c r="H42" s="102">
        <f t="shared" ref="H42:J42" si="0">H41/10</f>
        <v>1300</v>
      </c>
      <c r="I42" s="103">
        <f t="shared" si="0"/>
        <v>0</v>
      </c>
      <c r="J42" s="95">
        <f t="shared" si="0"/>
        <v>1647.48</v>
      </c>
      <c r="K42" s="74"/>
    </row>
    <row r="43" spans="1:11">
      <c r="A43" s="74"/>
      <c r="J43" s="61"/>
      <c r="K43" s="74"/>
    </row>
    <row r="44" spans="1:11">
      <c r="A44" s="74"/>
      <c r="K44" s="74"/>
    </row>
    <row r="45" spans="1:11">
      <c r="A45" s="74"/>
      <c r="K45" s="74"/>
    </row>
    <row r="46" spans="1:11">
      <c r="A46" s="74"/>
      <c r="K46" s="74"/>
    </row>
    <row r="47" spans="1:11">
      <c r="A47" s="74"/>
      <c r="K47" s="74"/>
    </row>
    <row r="48" spans="1:11">
      <c r="A48" s="74"/>
      <c r="K48" s="74"/>
    </row>
    <row r="49" spans="1:11">
      <c r="A49" s="74"/>
      <c r="K49" s="74"/>
    </row>
    <row r="50" spans="1:11">
      <c r="A50" s="74"/>
      <c r="K50" s="74"/>
    </row>
    <row r="51" spans="1:11">
      <c r="A51" s="74"/>
      <c r="K51" s="74"/>
    </row>
    <row r="52" spans="1:11" ht="5.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</row>
  </sheetData>
  <mergeCells count="14">
    <mergeCell ref="G32:H32"/>
    <mergeCell ref="G38:J39"/>
    <mergeCell ref="B5:F5"/>
    <mergeCell ref="C6:E6"/>
    <mergeCell ref="C7:E7"/>
    <mergeCell ref="C8:E8"/>
    <mergeCell ref="C9:D9"/>
    <mergeCell ref="I15:I16"/>
    <mergeCell ref="J15:J16"/>
    <mergeCell ref="B1:E3"/>
    <mergeCell ref="H1:K3"/>
    <mergeCell ref="G29:I29"/>
    <mergeCell ref="G30:H30"/>
    <mergeCell ref="G31:H31"/>
  </mergeCells>
  <pageMargins left="0.59055118110236204" right="0.23622047244094499" top="0.39370078740157499" bottom="0.74803149606299202" header="0.31496062992126" footer="0.31496062992126"/>
  <pageSetup scale="83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BD</vt:lpstr>
      <vt:lpstr>Simulador</vt:lpstr>
      <vt:lpstr>Reporte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Barry Cooper</dc:creator>
  <cp:keywords/>
  <dc:description/>
  <cp:lastModifiedBy>USER</cp:lastModifiedBy>
  <cp:revision/>
  <dcterms:created xsi:type="dcterms:W3CDTF">2021-09-20T20:17:00Z</dcterms:created>
  <dcterms:modified xsi:type="dcterms:W3CDTF">2022-09-21T18:34:03Z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1033-11.2.0.10308</vt:lpwstr>
  </property>
  <property fmtid="{D5CDD505-2E9C-101B-9397-08002B2CF9AE}" pid="3" name="ICV">
    <vt:lpwstr>F585151A82E347F7B246B5122A2A34A5</vt:lpwstr>
  </property>
</Properties>
</file>